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mfordtowncouncil.sharepoint.com/sites/StamfordTownCouncilNetwork/Shared Documents/Town Council Meetings/STC Agendas/2024/12. December/Supporting Documents/Budget &amp; Precept/"/>
    </mc:Choice>
  </mc:AlternateContent>
  <xr:revisionPtr revIDLastSave="888" documentId="8_{A2D4305C-A6E5-4B8D-BB4D-16CFF7AA5221}" xr6:coauthVersionLast="47" xr6:coauthVersionMax="47" xr10:uidLastSave="{8E9A0B52-7F59-4405-B78F-A9C699D8D6B0}"/>
  <workbookProtection workbookAlgorithmName="SHA-512" workbookHashValue="KVU9rs/Matau6cLhR/gj7t7la+FAAo1JqfGuKlshAM704C1ZDpx0teG2FMPbj6D9LUpMhC7qKWV7mgoiH0tK2g==" workbookSaltValue="fpbByelwEpru1ssEXPh89g==" workbookSpinCount="100000" lockStructure="1"/>
  <bookViews>
    <workbookView xWindow="-120" yWindow="-120" windowWidth="29040" windowHeight="15720" tabRatio="867" activeTab="2" xr2:uid="{AE07D641-4F9F-4A52-9EEE-9EB04C71F434}"/>
  </bookViews>
  <sheets>
    <sheet name="Budget" sheetId="19" r:id="rId1"/>
    <sheet name="Earmarked" sheetId="22" r:id="rId2"/>
    <sheet name="Allotments" sheetId="4" r:id="rId3"/>
    <sheet name="Cemetery" sheetId="5" r:id="rId4"/>
    <sheet name="Town Hall" sheetId="6" r:id="rId5"/>
    <sheet name="RLS" sheetId="7" r:id="rId6"/>
    <sheet name="Bastion" sheetId="8" r:id="rId7"/>
    <sheet name="Meadows" sheetId="9" r:id="rId8"/>
    <sheet name="Rec" sheetId="10" r:id="rId9"/>
    <sheet name="Sports Fields" sheetId="11" r:id="rId10"/>
    <sheet name="GM" sheetId="12" r:id="rId11"/>
    <sheet name="A&amp;S Supplies" sheetId="13" r:id="rId12"/>
    <sheet name="H&amp;C" sheetId="15" r:id="rId13"/>
    <sheet name="F&amp;G" sheetId="16" r:id="rId14"/>
    <sheet name="Admin" sheetId="17" r:id="rId15"/>
    <sheet name="C&amp;C" sheetId="18" r:id="rId16"/>
    <sheet name="General Reserves" sheetId="20" r:id="rId17"/>
  </sheets>
  <definedNames>
    <definedName name="_xlnm.Print_Area" localSheetId="0">Budget!$A$157:$H$178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4" l="1"/>
  <c r="F14" i="4"/>
  <c r="G14" i="4"/>
  <c r="H14" i="4"/>
  <c r="I14" i="4"/>
  <c r="B6" i="19"/>
  <c r="C170" i="19"/>
  <c r="C167" i="19"/>
  <c r="B12" i="22"/>
  <c r="B13" i="22"/>
  <c r="H26" i="4"/>
  <c r="I33" i="5"/>
  <c r="G33" i="5"/>
  <c r="H33" i="5"/>
  <c r="F33" i="5"/>
  <c r="B3" i="22" s="1"/>
  <c r="B159" i="19" l="1"/>
  <c r="B166" i="19" s="1"/>
  <c r="C166" i="19"/>
  <c r="B143" i="19"/>
  <c r="B142" i="19"/>
  <c r="B138" i="19"/>
  <c r="B144" i="19" s="1"/>
  <c r="B135" i="19"/>
  <c r="B137" i="19" s="1"/>
  <c r="B139" i="19" s="1"/>
  <c r="B131" i="19"/>
  <c r="B129" i="19"/>
  <c r="B116" i="19"/>
  <c r="B123" i="19" s="1"/>
  <c r="B115" i="19"/>
  <c r="B122" i="19" s="1"/>
  <c r="B113" i="19"/>
  <c r="B121" i="19" s="1"/>
  <c r="B112" i="19"/>
  <c r="B114" i="19" s="1"/>
  <c r="B117" i="19" s="1"/>
  <c r="B105" i="19"/>
  <c r="B107" i="19" s="1"/>
  <c r="B108" i="19" s="1"/>
  <c r="B101" i="19"/>
  <c r="B102" i="19" s="1"/>
  <c r="B100" i="19"/>
  <c r="B99" i="19"/>
  <c r="B95" i="19"/>
  <c r="B96" i="19" s="1"/>
  <c r="B94" i="19"/>
  <c r="B93" i="19"/>
  <c r="B120" i="19" s="1"/>
  <c r="B86" i="19"/>
  <c r="B85" i="19"/>
  <c r="B83" i="19"/>
  <c r="B82" i="19"/>
  <c r="B84" i="19" s="1"/>
  <c r="B87" i="19" s="1"/>
  <c r="B70" i="19"/>
  <c r="B68" i="19"/>
  <c r="B67" i="19"/>
  <c r="B69" i="19" s="1"/>
  <c r="B71" i="19" s="1"/>
  <c r="B62" i="19"/>
  <c r="B61" i="19"/>
  <c r="B63" i="19" s="1"/>
  <c r="B64" i="19" s="1"/>
  <c r="B56" i="19"/>
  <c r="B55" i="19"/>
  <c r="B57" i="19" s="1"/>
  <c r="B58" i="19" s="1"/>
  <c r="B51" i="19"/>
  <c r="B50" i="19"/>
  <c r="B48" i="19"/>
  <c r="B47" i="19"/>
  <c r="B49" i="19" s="1"/>
  <c r="B52" i="19" s="1"/>
  <c r="B43" i="19"/>
  <c r="B42" i="19"/>
  <c r="B40" i="19"/>
  <c r="B39" i="19"/>
  <c r="B41" i="19" s="1"/>
  <c r="B34" i="19"/>
  <c r="B33" i="19"/>
  <c r="B28" i="19"/>
  <c r="B27" i="19"/>
  <c r="B23" i="19"/>
  <c r="B21" i="19"/>
  <c r="B20" i="19"/>
  <c r="B8" i="19"/>
  <c r="B151" i="19"/>
  <c r="B149" i="19"/>
  <c r="B148" i="19"/>
  <c r="B35" i="19" l="1"/>
  <c r="B36" i="19" s="1"/>
  <c r="B150" i="19"/>
  <c r="B152" i="19" s="1"/>
  <c r="B44" i="19"/>
  <c r="B154" i="19"/>
  <c r="B22" i="19"/>
  <c r="B24" i="19" s="1"/>
  <c r="B29" i="19"/>
  <c r="B30" i="19" s="1"/>
  <c r="I13" i="5"/>
  <c r="I14" i="5" s="1"/>
  <c r="I8" i="5"/>
  <c r="I9" i="4"/>
  <c r="I7" i="6"/>
  <c r="I8" i="6" s="1"/>
  <c r="L8" i="15"/>
  <c r="I41" i="16" l="1"/>
  <c r="C113" i="19"/>
  <c r="C112" i="19"/>
  <c r="I30" i="16"/>
  <c r="I31" i="16" s="1"/>
  <c r="E23" i="10"/>
  <c r="F23" i="10"/>
  <c r="G23" i="10"/>
  <c r="H23" i="10"/>
  <c r="I23" i="10"/>
  <c r="L14" i="18"/>
  <c r="L28" i="18" l="1"/>
  <c r="L29" i="18"/>
  <c r="L30" i="18"/>
  <c r="L31" i="18"/>
  <c r="L32" i="18"/>
  <c r="L33" i="18"/>
  <c r="L34" i="18"/>
  <c r="L35" i="18"/>
  <c r="L36" i="18"/>
  <c r="L37" i="18"/>
  <c r="L38" i="18"/>
  <c r="L26" i="18"/>
  <c r="C159" i="19" l="1"/>
  <c r="B14" i="22" s="1"/>
  <c r="B15" i="22" s="1"/>
  <c r="B5" i="22" s="1"/>
  <c r="F13" i="6"/>
  <c r="E11" i="10"/>
  <c r="E31" i="6"/>
  <c r="F31" i="6"/>
  <c r="G31" i="6"/>
  <c r="H31" i="6"/>
  <c r="I30" i="5"/>
  <c r="I31" i="5"/>
  <c r="I32" i="5"/>
  <c r="I29" i="5"/>
  <c r="I37" i="5"/>
  <c r="C143" i="19"/>
  <c r="C43" i="19"/>
  <c r="C42" i="19"/>
  <c r="C34" i="19"/>
  <c r="E53" i="16"/>
  <c r="F53" i="16"/>
  <c r="G53" i="16"/>
  <c r="H53" i="16"/>
  <c r="H36" i="15"/>
  <c r="I36" i="15"/>
  <c r="J36" i="15"/>
  <c r="E29" i="10"/>
  <c r="F29" i="10"/>
  <c r="G29" i="10"/>
  <c r="H29" i="10"/>
  <c r="E30" i="9"/>
  <c r="F30" i="9"/>
  <c r="G30" i="9"/>
  <c r="E38" i="5"/>
  <c r="F38" i="5"/>
  <c r="G38" i="5"/>
  <c r="H38" i="5"/>
  <c r="B16" i="19" s="1"/>
  <c r="B77" i="19" s="1"/>
  <c r="B164" i="19" s="1"/>
  <c r="E33" i="5"/>
  <c r="B15" i="19"/>
  <c r="B76" i="19" s="1"/>
  <c r="B165" i="19" s="1"/>
  <c r="I38" i="5" l="1"/>
  <c r="C16" i="19" s="1"/>
  <c r="L7" i="12"/>
  <c r="I22" i="4" l="1"/>
  <c r="L12" i="12" l="1"/>
  <c r="C61" i="19" s="1"/>
  <c r="E49" i="16"/>
  <c r="F49" i="16"/>
  <c r="G49" i="16"/>
  <c r="I9" i="7"/>
  <c r="I10" i="7" s="1"/>
  <c r="H9" i="7"/>
  <c r="H10" i="7" s="1"/>
  <c r="G9" i="7"/>
  <c r="G10" i="7" s="1"/>
  <c r="F9" i="7"/>
  <c r="F10" i="7" s="1"/>
  <c r="E9" i="7"/>
  <c r="E10" i="7" s="1"/>
  <c r="I12" i="10"/>
  <c r="I13" i="10" s="1"/>
  <c r="H12" i="10"/>
  <c r="H13" i="10" s="1"/>
  <c r="G12" i="10"/>
  <c r="G13" i="10" s="1"/>
  <c r="F12" i="10"/>
  <c r="F13" i="10" s="1"/>
  <c r="E12" i="10"/>
  <c r="E13" i="10" s="1"/>
  <c r="E26" i="9"/>
  <c r="F26" i="9"/>
  <c r="G26" i="9"/>
  <c r="H25" i="9"/>
  <c r="I25" i="9" s="1"/>
  <c r="I15" i="9"/>
  <c r="H15" i="9"/>
  <c r="G15" i="9"/>
  <c r="F15" i="9"/>
  <c r="E15" i="9"/>
  <c r="I12" i="9"/>
  <c r="H12" i="9"/>
  <c r="G12" i="9"/>
  <c r="F12" i="9"/>
  <c r="E12" i="9"/>
  <c r="I10" i="11"/>
  <c r="I11" i="11" s="1"/>
  <c r="H10" i="11"/>
  <c r="H11" i="11" s="1"/>
  <c r="G10" i="11"/>
  <c r="G11" i="11" s="1"/>
  <c r="F10" i="11"/>
  <c r="F11" i="11" s="1"/>
  <c r="E10" i="11"/>
  <c r="E11" i="11" s="1"/>
  <c r="I20" i="5"/>
  <c r="H20" i="5"/>
  <c r="G20" i="5"/>
  <c r="F20" i="5"/>
  <c r="E20" i="5"/>
  <c r="I18" i="5"/>
  <c r="H18" i="5"/>
  <c r="G18" i="5"/>
  <c r="F18" i="5"/>
  <c r="E18" i="5"/>
  <c r="I5" i="4"/>
  <c r="I16" i="4" s="1"/>
  <c r="C5" i="19" s="1"/>
  <c r="E7" i="6"/>
  <c r="E8" i="6" s="1"/>
  <c r="F7" i="6"/>
  <c r="F8" i="6" s="1"/>
  <c r="G7" i="6"/>
  <c r="H7" i="6"/>
  <c r="H8" i="6" s="1"/>
  <c r="I15" i="6"/>
  <c r="I19" i="6" s="1"/>
  <c r="C21" i="19" s="1"/>
  <c r="H15" i="6"/>
  <c r="H19" i="6" s="1"/>
  <c r="G15" i="6"/>
  <c r="G19" i="6" s="1"/>
  <c r="F15" i="6"/>
  <c r="F19" i="6" s="1"/>
  <c r="E15" i="6"/>
  <c r="E19" i="6" s="1"/>
  <c r="I12" i="6"/>
  <c r="H12" i="6"/>
  <c r="G12" i="6"/>
  <c r="F12" i="6"/>
  <c r="E12" i="6"/>
  <c r="I6" i="20"/>
  <c r="H6" i="20"/>
  <c r="G6" i="20"/>
  <c r="F6" i="20"/>
  <c r="H39" i="18"/>
  <c r="I39" i="18"/>
  <c r="J39" i="18"/>
  <c r="H27" i="15"/>
  <c r="I27" i="15"/>
  <c r="J27" i="15"/>
  <c r="E21" i="13"/>
  <c r="F21" i="13"/>
  <c r="G21" i="13"/>
  <c r="E20" i="11"/>
  <c r="F20" i="11"/>
  <c r="G20" i="11"/>
  <c r="E20" i="7"/>
  <c r="F20" i="7"/>
  <c r="G20" i="7"/>
  <c r="E26" i="6"/>
  <c r="F26" i="6"/>
  <c r="G26" i="6"/>
  <c r="E26" i="4"/>
  <c r="F26" i="4"/>
  <c r="G26" i="4"/>
  <c r="H35" i="17"/>
  <c r="I35" i="17"/>
  <c r="J35" i="17"/>
  <c r="L33" i="17"/>
  <c r="H19" i="7"/>
  <c r="I19" i="7" s="1"/>
  <c r="H18" i="7"/>
  <c r="I18" i="7" s="1"/>
  <c r="I20" i="13"/>
  <c r="I19" i="13"/>
  <c r="H19" i="11"/>
  <c r="I19" i="11" s="1"/>
  <c r="I20" i="11" s="1"/>
  <c r="I28" i="10"/>
  <c r="I29" i="10" s="1"/>
  <c r="C51" i="19" s="1"/>
  <c r="H22" i="10"/>
  <c r="I22" i="10" s="1"/>
  <c r="I21" i="10"/>
  <c r="H29" i="9"/>
  <c r="H25" i="6"/>
  <c r="I25" i="6" s="1"/>
  <c r="I30" i="6"/>
  <c r="H24" i="6"/>
  <c r="I24" i="6" s="1"/>
  <c r="I29" i="6"/>
  <c r="I31" i="6" s="1"/>
  <c r="C23" i="19" s="1"/>
  <c r="K26" i="15"/>
  <c r="L26" i="15" s="1"/>
  <c r="L25" i="15"/>
  <c r="K24" i="15"/>
  <c r="L24" i="15" s="1"/>
  <c r="L35" i="15"/>
  <c r="K34" i="15"/>
  <c r="L34" i="15" s="1"/>
  <c r="K33" i="15"/>
  <c r="L33" i="15" s="1"/>
  <c r="K32" i="15"/>
  <c r="L32" i="15" s="1"/>
  <c r="K31" i="15"/>
  <c r="L23" i="15"/>
  <c r="L22" i="15"/>
  <c r="K21" i="15"/>
  <c r="L21" i="15" s="1"/>
  <c r="K38" i="18"/>
  <c r="K37" i="18"/>
  <c r="K36" i="18"/>
  <c r="K35" i="18"/>
  <c r="K34" i="18"/>
  <c r="K33" i="18"/>
  <c r="K32" i="18"/>
  <c r="K31" i="18"/>
  <c r="K30" i="18"/>
  <c r="K29" i="18"/>
  <c r="K28" i="18"/>
  <c r="K27" i="18"/>
  <c r="L27" i="18" s="1"/>
  <c r="K26" i="18"/>
  <c r="H25" i="4"/>
  <c r="I25" i="4" s="1"/>
  <c r="H24" i="4"/>
  <c r="I23" i="4"/>
  <c r="I47" i="16"/>
  <c r="I46" i="16"/>
  <c r="I52" i="16"/>
  <c r="I53" i="16" s="1"/>
  <c r="C116" i="19" s="1"/>
  <c r="C123" i="19" s="1"/>
  <c r="I17" i="18"/>
  <c r="I21" i="18" s="1"/>
  <c r="J17" i="18"/>
  <c r="J21" i="18" s="1"/>
  <c r="K17" i="18"/>
  <c r="K21" i="18" s="1"/>
  <c r="L17" i="18"/>
  <c r="L21" i="18" s="1"/>
  <c r="C149" i="19" s="1"/>
  <c r="H17" i="18"/>
  <c r="H21" i="18" s="1"/>
  <c r="I14" i="18"/>
  <c r="J14" i="18"/>
  <c r="K14" i="18"/>
  <c r="H14" i="18"/>
  <c r="I24" i="17"/>
  <c r="I25" i="17" s="1"/>
  <c r="J24" i="17"/>
  <c r="J25" i="17" s="1"/>
  <c r="K24" i="17"/>
  <c r="K25" i="17" s="1"/>
  <c r="L24" i="17"/>
  <c r="H24" i="17"/>
  <c r="H25" i="17" s="1"/>
  <c r="I10" i="17"/>
  <c r="I11" i="17" s="1"/>
  <c r="J10" i="17"/>
  <c r="J11" i="17" s="1"/>
  <c r="K10" i="17"/>
  <c r="L10" i="17"/>
  <c r="H10" i="17"/>
  <c r="H11" i="17" s="1"/>
  <c r="F37" i="16"/>
  <c r="G37" i="16"/>
  <c r="H37" i="16"/>
  <c r="I37" i="16"/>
  <c r="F35" i="16"/>
  <c r="G35" i="16"/>
  <c r="H35" i="16"/>
  <c r="I35" i="16"/>
  <c r="E37" i="16"/>
  <c r="E35" i="16"/>
  <c r="F30" i="16"/>
  <c r="F31" i="16" s="1"/>
  <c r="G30" i="16"/>
  <c r="G31" i="16" s="1"/>
  <c r="H30" i="16"/>
  <c r="H31" i="16" s="1"/>
  <c r="E30" i="16"/>
  <c r="E31" i="16" s="1"/>
  <c r="F19" i="16"/>
  <c r="G19" i="16"/>
  <c r="H19" i="16"/>
  <c r="I19" i="16"/>
  <c r="C100" i="19" s="1"/>
  <c r="E19" i="16"/>
  <c r="F16" i="16"/>
  <c r="G16" i="16"/>
  <c r="H16" i="16"/>
  <c r="I16" i="16"/>
  <c r="C99" i="19" s="1"/>
  <c r="E16" i="16"/>
  <c r="F8" i="16"/>
  <c r="G8" i="16"/>
  <c r="H8" i="16"/>
  <c r="I8" i="16"/>
  <c r="F6" i="16"/>
  <c r="G6" i="16"/>
  <c r="H6" i="16"/>
  <c r="I6" i="16"/>
  <c r="E8" i="16"/>
  <c r="E6" i="16"/>
  <c r="I12" i="15"/>
  <c r="I16" i="15" s="1"/>
  <c r="J12" i="15"/>
  <c r="J16" i="15" s="1"/>
  <c r="K12" i="15"/>
  <c r="K16" i="15" s="1"/>
  <c r="L12" i="15"/>
  <c r="L16" i="15" s="1"/>
  <c r="C83" i="19" s="1"/>
  <c r="I8" i="15"/>
  <c r="J8" i="15"/>
  <c r="J15" i="15" s="1"/>
  <c r="K8" i="15"/>
  <c r="K15" i="15" s="1"/>
  <c r="L15" i="15"/>
  <c r="C82" i="19" s="1"/>
  <c r="H12" i="15"/>
  <c r="H16" i="15" s="1"/>
  <c r="H8" i="15"/>
  <c r="H15" i="15" s="1"/>
  <c r="F10" i="13"/>
  <c r="F14" i="13" s="1"/>
  <c r="G10" i="13"/>
  <c r="G14" i="13" s="1"/>
  <c r="H10" i="13"/>
  <c r="H14" i="13" s="1"/>
  <c r="I10" i="13"/>
  <c r="I14" i="13" s="1"/>
  <c r="C68" i="19" s="1"/>
  <c r="F7" i="13"/>
  <c r="G7" i="13"/>
  <c r="H7" i="13"/>
  <c r="H11" i="13" s="1"/>
  <c r="I7" i="13"/>
  <c r="E10" i="13"/>
  <c r="E14" i="13" s="1"/>
  <c r="E7" i="13"/>
  <c r="I9" i="12"/>
  <c r="I13" i="12" s="1"/>
  <c r="J9" i="12"/>
  <c r="J13" i="12" s="1"/>
  <c r="K9" i="12"/>
  <c r="K13" i="12" s="1"/>
  <c r="L9" i="12"/>
  <c r="L10" i="12" s="1"/>
  <c r="I7" i="12"/>
  <c r="J7" i="12"/>
  <c r="K7" i="12"/>
  <c r="H9" i="12"/>
  <c r="H13" i="12" s="1"/>
  <c r="H7" i="12"/>
  <c r="H12" i="12" s="1"/>
  <c r="E4" i="11"/>
  <c r="E5" i="11" s="1"/>
  <c r="F4" i="11"/>
  <c r="F5" i="11" s="1"/>
  <c r="G4" i="11"/>
  <c r="G5" i="11" s="1"/>
  <c r="H4" i="11"/>
  <c r="H5" i="11" s="1"/>
  <c r="I4" i="11"/>
  <c r="I5" i="11" s="1"/>
  <c r="F6" i="10"/>
  <c r="F7" i="10" s="1"/>
  <c r="G6" i="10"/>
  <c r="G15" i="10" s="1"/>
  <c r="H6" i="10"/>
  <c r="H7" i="10" s="1"/>
  <c r="I6" i="10"/>
  <c r="I7" i="10" s="1"/>
  <c r="E6" i="10"/>
  <c r="E7" i="10" s="1"/>
  <c r="F7" i="9"/>
  <c r="G7" i="9"/>
  <c r="H7" i="9"/>
  <c r="I7" i="9"/>
  <c r="I19" i="9" s="1"/>
  <c r="C40" i="19" s="1"/>
  <c r="F5" i="9"/>
  <c r="F18" i="9" s="1"/>
  <c r="G5" i="9"/>
  <c r="H5" i="9"/>
  <c r="I5" i="9"/>
  <c r="E7" i="9"/>
  <c r="E5" i="9"/>
  <c r="L4" i="8"/>
  <c r="L5" i="8" s="1"/>
  <c r="K4" i="8"/>
  <c r="K5" i="8" s="1"/>
  <c r="J4" i="8"/>
  <c r="J5" i="8" s="1"/>
  <c r="I4" i="8"/>
  <c r="I5" i="8" s="1"/>
  <c r="H4" i="8"/>
  <c r="H5" i="8" s="1"/>
  <c r="I4" i="7"/>
  <c r="I5" i="7" s="1"/>
  <c r="H4" i="7"/>
  <c r="H5" i="7" s="1"/>
  <c r="G4" i="7"/>
  <c r="G5" i="7" s="1"/>
  <c r="F4" i="7"/>
  <c r="F5" i="7" s="1"/>
  <c r="E4" i="7"/>
  <c r="E5" i="7" s="1"/>
  <c r="F13" i="5"/>
  <c r="G13" i="5"/>
  <c r="H13" i="5"/>
  <c r="E13" i="5"/>
  <c r="F8" i="5"/>
  <c r="G8" i="5"/>
  <c r="H8" i="5"/>
  <c r="E8" i="5"/>
  <c r="F13" i="4"/>
  <c r="F17" i="4" s="1"/>
  <c r="G13" i="4"/>
  <c r="G17" i="4" s="1"/>
  <c r="H13" i="4"/>
  <c r="H17" i="4" s="1"/>
  <c r="E13" i="4"/>
  <c r="E17" i="4" s="1"/>
  <c r="F9" i="4"/>
  <c r="F16" i="4" s="1"/>
  <c r="G9" i="4"/>
  <c r="G16" i="4" s="1"/>
  <c r="H9" i="4"/>
  <c r="H16" i="4" s="1"/>
  <c r="B5" i="19" s="1"/>
  <c r="B7" i="19" s="1"/>
  <c r="B9" i="19" s="1"/>
  <c r="E9" i="4"/>
  <c r="E16" i="4" s="1"/>
  <c r="I13" i="4"/>
  <c r="I17" i="4" s="1"/>
  <c r="C6" i="19" s="1"/>
  <c r="C89" i="19" l="1"/>
  <c r="I13" i="7"/>
  <c r="C28" i="19" s="1"/>
  <c r="C101" i="19"/>
  <c r="C102" i="19" s="1"/>
  <c r="C84" i="19"/>
  <c r="E18" i="4"/>
  <c r="C7" i="19"/>
  <c r="I21" i="5"/>
  <c r="K27" i="17"/>
  <c r="K29" i="17" s="1"/>
  <c r="L25" i="17"/>
  <c r="C135" i="19"/>
  <c r="C137" i="19" s="1"/>
  <c r="L11" i="17"/>
  <c r="C129" i="19"/>
  <c r="C131" i="19" s="1"/>
  <c r="C132" i="19" s="1"/>
  <c r="C105" i="19"/>
  <c r="C107" i="19" s="1"/>
  <c r="C108" i="19" s="1"/>
  <c r="C94" i="19"/>
  <c r="C121" i="19" s="1"/>
  <c r="C93" i="19"/>
  <c r="C120" i="19" s="1"/>
  <c r="C125" i="19" s="1"/>
  <c r="I40" i="16"/>
  <c r="I11" i="13"/>
  <c r="F11" i="13"/>
  <c r="G11" i="13"/>
  <c r="K10" i="12"/>
  <c r="J10" i="12"/>
  <c r="L13" i="12"/>
  <c r="C62" i="19" s="1"/>
  <c r="C63" i="19" s="1"/>
  <c r="C64" i="19" s="1"/>
  <c r="I10" i="12"/>
  <c r="G16" i="6"/>
  <c r="I16" i="6"/>
  <c r="L20" i="18"/>
  <c r="L18" i="18"/>
  <c r="K20" i="18"/>
  <c r="K22" i="18" s="1"/>
  <c r="K18" i="18"/>
  <c r="J20" i="18"/>
  <c r="J18" i="18"/>
  <c r="I20" i="18"/>
  <c r="I18" i="18"/>
  <c r="H20" i="18"/>
  <c r="H22" i="18" s="1"/>
  <c r="H18" i="18"/>
  <c r="J27" i="17"/>
  <c r="J29" i="17" s="1"/>
  <c r="I27" i="17"/>
  <c r="I29" i="17" s="1"/>
  <c r="H27" i="17"/>
  <c r="H29" i="17" s="1"/>
  <c r="L27" i="17"/>
  <c r="L31" i="15"/>
  <c r="L36" i="15" s="1"/>
  <c r="C86" i="19" s="1"/>
  <c r="K36" i="15"/>
  <c r="L27" i="15"/>
  <c r="C85" i="19" s="1"/>
  <c r="E11" i="13"/>
  <c r="I13" i="13"/>
  <c r="E13" i="13"/>
  <c r="E15" i="13" s="1"/>
  <c r="H13" i="13"/>
  <c r="H15" i="13" s="1"/>
  <c r="G13" i="13"/>
  <c r="G15" i="13" s="1"/>
  <c r="F13" i="13"/>
  <c r="F15" i="13" s="1"/>
  <c r="H14" i="12"/>
  <c r="K12" i="12"/>
  <c r="K14" i="12" s="1"/>
  <c r="I12" i="12"/>
  <c r="I14" i="12" s="1"/>
  <c r="J12" i="12"/>
  <c r="J14" i="12" s="1"/>
  <c r="H10" i="12"/>
  <c r="G14" i="11"/>
  <c r="I13" i="11"/>
  <c r="C55" i="19" s="1"/>
  <c r="F13" i="11"/>
  <c r="H14" i="11"/>
  <c r="E13" i="11"/>
  <c r="E14" i="11"/>
  <c r="F14" i="11"/>
  <c r="I14" i="11"/>
  <c r="C56" i="19" s="1"/>
  <c r="H13" i="11"/>
  <c r="G13" i="11"/>
  <c r="I16" i="10"/>
  <c r="C48" i="19" s="1"/>
  <c r="G16" i="10"/>
  <c r="G17" i="10" s="1"/>
  <c r="H16" i="10"/>
  <c r="F16" i="10"/>
  <c r="E15" i="10"/>
  <c r="I15" i="10"/>
  <c r="C47" i="19" s="1"/>
  <c r="E16" i="10"/>
  <c r="H15" i="10"/>
  <c r="F15" i="10"/>
  <c r="I29" i="9"/>
  <c r="I30" i="9" s="1"/>
  <c r="H30" i="9"/>
  <c r="G18" i="9"/>
  <c r="F19" i="9"/>
  <c r="E8" i="9"/>
  <c r="E19" i="9"/>
  <c r="I18" i="9"/>
  <c r="G19" i="9"/>
  <c r="H19" i="9"/>
  <c r="F16" i="9"/>
  <c r="G16" i="9"/>
  <c r="H8" i="9"/>
  <c r="I26" i="9"/>
  <c r="F20" i="9"/>
  <c r="E18" i="9"/>
  <c r="E16" i="9"/>
  <c r="I8" i="9"/>
  <c r="H18" i="9"/>
  <c r="G8" i="9"/>
  <c r="I16" i="9"/>
  <c r="H16" i="9"/>
  <c r="F8" i="9"/>
  <c r="I8" i="8"/>
  <c r="I10" i="8" s="1"/>
  <c r="H8" i="8"/>
  <c r="H10" i="8" s="1"/>
  <c r="L8" i="8"/>
  <c r="K8" i="8"/>
  <c r="K10" i="8" s="1"/>
  <c r="J8" i="8"/>
  <c r="J10" i="8" s="1"/>
  <c r="G12" i="7"/>
  <c r="G14" i="7" s="1"/>
  <c r="F12" i="7"/>
  <c r="H13" i="7"/>
  <c r="G13" i="7"/>
  <c r="E13" i="7"/>
  <c r="I12" i="7"/>
  <c r="E12" i="7"/>
  <c r="E14" i="7" s="1"/>
  <c r="F13" i="7"/>
  <c r="F14" i="7" s="1"/>
  <c r="H12" i="7"/>
  <c r="G18" i="4"/>
  <c r="E16" i="6"/>
  <c r="F16" i="6"/>
  <c r="H16" i="6"/>
  <c r="H18" i="4"/>
  <c r="G21" i="5"/>
  <c r="F18" i="4"/>
  <c r="I18" i="4"/>
  <c r="I24" i="4"/>
  <c r="I26" i="4" s="1"/>
  <c r="F21" i="5"/>
  <c r="G14" i="5"/>
  <c r="H14" i="5"/>
  <c r="E21" i="5"/>
  <c r="F23" i="5"/>
  <c r="F14" i="5"/>
  <c r="H21" i="5"/>
  <c r="I24" i="5"/>
  <c r="C13" i="19" s="1"/>
  <c r="H24" i="5"/>
  <c r="B13" i="19" s="1"/>
  <c r="B75" i="19" s="1"/>
  <c r="B163" i="19" s="1"/>
  <c r="E23" i="5"/>
  <c r="E14" i="5"/>
  <c r="I23" i="5"/>
  <c r="C12" i="19" s="1"/>
  <c r="F24" i="5"/>
  <c r="L14" i="12"/>
  <c r="I22" i="18"/>
  <c r="J22" i="18"/>
  <c r="E40" i="16"/>
  <c r="H9" i="16"/>
  <c r="I20" i="16"/>
  <c r="I9" i="16"/>
  <c r="H20" i="16"/>
  <c r="E20" i="16"/>
  <c r="F9" i="16"/>
  <c r="G20" i="16"/>
  <c r="G9" i="16"/>
  <c r="F20" i="16"/>
  <c r="H41" i="16"/>
  <c r="I38" i="16"/>
  <c r="I49" i="16"/>
  <c r="C115" i="19" s="1"/>
  <c r="C122" i="19" s="1"/>
  <c r="E41" i="16"/>
  <c r="F41" i="16"/>
  <c r="H40" i="16"/>
  <c r="G41" i="16"/>
  <c r="G40" i="16"/>
  <c r="F40" i="16"/>
  <c r="E9" i="16"/>
  <c r="I13" i="15"/>
  <c r="I15" i="15"/>
  <c r="I17" i="15" s="1"/>
  <c r="H17" i="15"/>
  <c r="J17" i="15"/>
  <c r="L17" i="15"/>
  <c r="K17" i="15"/>
  <c r="E18" i="6"/>
  <c r="E20" i="6" s="1"/>
  <c r="G18" i="6"/>
  <c r="G20" i="6" s="1"/>
  <c r="H18" i="6"/>
  <c r="H20" i="6" s="1"/>
  <c r="F18" i="6"/>
  <c r="F20" i="6" s="1"/>
  <c r="I18" i="6"/>
  <c r="G24" i="5"/>
  <c r="E24" i="5"/>
  <c r="K39" i="18"/>
  <c r="L39" i="18"/>
  <c r="C151" i="19" s="1"/>
  <c r="K35" i="17"/>
  <c r="L34" i="17" s="1"/>
  <c r="L35" i="17" s="1"/>
  <c r="C138" i="19" s="1"/>
  <c r="C144" i="19" s="1"/>
  <c r="H13" i="15"/>
  <c r="J13" i="15"/>
  <c r="K27" i="15"/>
  <c r="L13" i="15"/>
  <c r="K13" i="15"/>
  <c r="H49" i="16"/>
  <c r="H26" i="9"/>
  <c r="I20" i="7"/>
  <c r="I21" i="13"/>
  <c r="C70" i="19" s="1"/>
  <c r="C77" i="19" s="1"/>
  <c r="H20" i="7"/>
  <c r="G23" i="5"/>
  <c r="H23" i="5"/>
  <c r="B12" i="19" s="1"/>
  <c r="H20" i="11"/>
  <c r="I26" i="6"/>
  <c r="H26" i="6"/>
  <c r="E38" i="16"/>
  <c r="F38" i="16"/>
  <c r="H21" i="13"/>
  <c r="H38" i="16"/>
  <c r="G38" i="16"/>
  <c r="K11" i="17"/>
  <c r="G7" i="10"/>
  <c r="G8" i="6"/>
  <c r="B74" i="19" l="1"/>
  <c r="B162" i="19" s="1"/>
  <c r="B167" i="19" s="1"/>
  <c r="B14" i="19"/>
  <c r="B17" i="19" s="1"/>
  <c r="C164" i="19"/>
  <c r="I14" i="7"/>
  <c r="C27" i="19"/>
  <c r="C29" i="19" s="1"/>
  <c r="C30" i="19" s="1"/>
  <c r="C87" i="19"/>
  <c r="C75" i="19"/>
  <c r="C163" i="19" s="1"/>
  <c r="L10" i="8"/>
  <c r="C33" i="19"/>
  <c r="C35" i="19" s="1"/>
  <c r="C36" i="19" s="1"/>
  <c r="C57" i="19"/>
  <c r="C58" i="19" s="1"/>
  <c r="C139" i="19"/>
  <c r="C95" i="19"/>
  <c r="C96" i="19" s="1"/>
  <c r="L29" i="17"/>
  <c r="C142" i="19"/>
  <c r="C145" i="19" s="1"/>
  <c r="C114" i="19"/>
  <c r="C117" i="19" s="1"/>
  <c r="I15" i="13"/>
  <c r="C67" i="19"/>
  <c r="C69" i="19" s="1"/>
  <c r="C71" i="19" s="1"/>
  <c r="C49" i="19"/>
  <c r="C52" i="19" s="1"/>
  <c r="I20" i="9"/>
  <c r="C39" i="19"/>
  <c r="C41" i="19" s="1"/>
  <c r="C44" i="19" s="1"/>
  <c r="I20" i="6"/>
  <c r="C20" i="19"/>
  <c r="C14" i="19"/>
  <c r="L22" i="18"/>
  <c r="C148" i="19"/>
  <c r="C154" i="19" s="1"/>
  <c r="I15" i="11"/>
  <c r="F15" i="11"/>
  <c r="G15" i="11"/>
  <c r="E20" i="9"/>
  <c r="H15" i="11"/>
  <c r="E15" i="11"/>
  <c r="I17" i="10"/>
  <c r="F17" i="10"/>
  <c r="E17" i="10"/>
  <c r="H17" i="10"/>
  <c r="H20" i="9"/>
  <c r="G20" i="9"/>
  <c r="H14" i="7"/>
  <c r="C8" i="19"/>
  <c r="F25" i="5"/>
  <c r="H25" i="5"/>
  <c r="E25" i="5"/>
  <c r="I25" i="5"/>
  <c r="I42" i="16"/>
  <c r="E42" i="16"/>
  <c r="F42" i="16"/>
  <c r="G42" i="16"/>
  <c r="H42" i="16"/>
  <c r="G25" i="5"/>
  <c r="C22" i="19" l="1"/>
  <c r="C24" i="19" s="1"/>
  <c r="C74" i="19"/>
  <c r="C162" i="19" s="1"/>
  <c r="C150" i="19"/>
  <c r="C152" i="19" s="1"/>
  <c r="C9" i="19"/>
  <c r="C15" i="19"/>
  <c r="C17" i="19" s="1"/>
  <c r="C78" i="19" l="1"/>
  <c r="D162" i="19"/>
  <c r="E162" i="19" s="1"/>
  <c r="E158" i="19" s="1"/>
  <c r="F162" i="19" l="1"/>
  <c r="F158" i="19" s="1"/>
  <c r="H162" i="19"/>
  <c r="H158" i="19" s="1"/>
  <c r="G162" i="19"/>
  <c r="G158" i="19" s="1"/>
  <c r="D167" i="19" l="1"/>
  <c r="E167" i="19"/>
  <c r="C50" i="19" l="1"/>
  <c r="C76" i="19" s="1"/>
  <c r="C165" i="19" s="1"/>
</calcChain>
</file>

<file path=xl/sharedStrings.xml><?xml version="1.0" encoding="utf-8"?>
<sst xmlns="http://schemas.openxmlformats.org/spreadsheetml/2006/main" count="1200" uniqueCount="465">
  <si>
    <t>Allotments</t>
  </si>
  <si>
    <t>Allotments Water Charges</t>
  </si>
  <si>
    <t>Allotments Deposits</t>
  </si>
  <si>
    <t>Total Income</t>
  </si>
  <si>
    <t>Cemetery</t>
  </si>
  <si>
    <t>Cemetery Interment Fees</t>
  </si>
  <si>
    <t>Cemetery Purchase of Grave</t>
  </si>
  <si>
    <t>Cemetery Memorials &amp; Inscriptions</t>
  </si>
  <si>
    <t>Cemetery Miscellaneous - Transfer of Ownership</t>
  </si>
  <si>
    <t>Meadows</t>
  </si>
  <si>
    <t>Meadows Duck Feeders</t>
  </si>
  <si>
    <t>Recreation Ground</t>
  </si>
  <si>
    <t>Sports Fields</t>
  </si>
  <si>
    <t>Programmed Event Deposit</t>
  </si>
  <si>
    <t>Programmed Events fee</t>
  </si>
  <si>
    <t>Town Hall Hire</t>
  </si>
  <si>
    <t>Collections Management</t>
  </si>
  <si>
    <t>Grants and Contributions</t>
  </si>
  <si>
    <t>Utilities Refund &amp; Wayleave</t>
  </si>
  <si>
    <t>Climate Action - Grants/Sponsorship/Donation</t>
  </si>
  <si>
    <t>STC Civic &amp; Community Events</t>
  </si>
  <si>
    <t>Misc</t>
  </si>
  <si>
    <t>Pension Validation</t>
  </si>
  <si>
    <t>Bank Interest</t>
  </si>
  <si>
    <t>Administration</t>
  </si>
  <si>
    <t>RLS</t>
  </si>
  <si>
    <t>Town Hall</t>
  </si>
  <si>
    <t>Bastion</t>
  </si>
  <si>
    <t>Town Hall Horticultural Maintenance</t>
  </si>
  <si>
    <t>Town Hall Major Repairs</t>
  </si>
  <si>
    <t>Allotments Repairs &amp; Maintenance</t>
  </si>
  <si>
    <t>Allotments BKAC</t>
  </si>
  <si>
    <t>Cemetery Grave Digging</t>
  </si>
  <si>
    <t>Cemetery Miscellaneous</t>
  </si>
  <si>
    <t>Programmed Events Deposits</t>
  </si>
  <si>
    <t>S.137</t>
  </si>
  <si>
    <t>STC Strategy</t>
  </si>
  <si>
    <t>Climate Action Plan</t>
  </si>
  <si>
    <t>Total Expenditure</t>
  </si>
  <si>
    <t>Allotment Rent income</t>
  </si>
  <si>
    <t>Allotments Water Charges &amp; Rent</t>
  </si>
  <si>
    <t>Allotments Misc</t>
  </si>
  <si>
    <t>Cemetery  Rates &amp; Services</t>
  </si>
  <si>
    <t>Cemetery Repairs &amp; Maintenance</t>
  </si>
  <si>
    <t>Cemetery Software</t>
  </si>
  <si>
    <t>Allotment Software</t>
  </si>
  <si>
    <t xml:space="preserve">General Grounds &amp; Maintenance </t>
  </si>
  <si>
    <t>GM Cemetery</t>
  </si>
  <si>
    <t>GM LCC Grass Verges &amp; STC Open Spaces</t>
  </si>
  <si>
    <t>GM Sports Fields</t>
  </si>
  <si>
    <t>Meadows Repairs &amp; Maintenance</t>
  </si>
  <si>
    <t>Meadows Duck Feed</t>
  </si>
  <si>
    <t>Recreation Ground Rates &amp; Services</t>
  </si>
  <si>
    <t>Recreation Ground Repairs &amp; Maintenance</t>
  </si>
  <si>
    <t>Recreation Ground Play Equipment Repairs &amp; Maintenance</t>
  </si>
  <si>
    <t>Bastion Repairs &amp; Maintenance</t>
  </si>
  <si>
    <t>Town Hall Repairs and Maintenance</t>
  </si>
  <si>
    <t>Town Hall Rates &amp; Services</t>
  </si>
  <si>
    <t>Town Hall Security, Fire &amp; Lift Systems</t>
  </si>
  <si>
    <t>Civil Ceremonies</t>
  </si>
  <si>
    <t>RLS Arts &amp; Craft Traders</t>
  </si>
  <si>
    <t>Cemetery Lodge &amp; Boiler Repairs &amp; Maintenance</t>
  </si>
  <si>
    <t>Programmed Event Hire</t>
  </si>
  <si>
    <t>Recreation Ground Hire</t>
  </si>
  <si>
    <t>Cemetery Lodge &amp; Out Buildings lease</t>
  </si>
  <si>
    <t>Sports Fields Hire &amp; Lease</t>
  </si>
  <si>
    <t>Uffington Playing Field Hire/Lease</t>
  </si>
  <si>
    <t>Empingham Playing Field Hire/Lease</t>
  </si>
  <si>
    <t>Recreation Ground Grass Tennis Courts Hire/Lease</t>
  </si>
  <si>
    <t>Shack Hire/Lease</t>
  </si>
  <si>
    <t>Tours</t>
  </si>
  <si>
    <t>Heritage &amp; Collections Grants &amp; Donations</t>
  </si>
  <si>
    <t xml:space="preserve">Merchandise </t>
  </si>
  <si>
    <t>Audience Development</t>
  </si>
  <si>
    <t xml:space="preserve">Heritage &amp; Collections Training </t>
  </si>
  <si>
    <t>Stamford in Bloom Grant</t>
  </si>
  <si>
    <t>Community Grants &amp; Awards</t>
  </si>
  <si>
    <t>Christmas Festival</t>
  </si>
  <si>
    <t>Mayors Allowance &amp; Travel Allowance</t>
  </si>
  <si>
    <t>Deputy Mayors Travel Allowance</t>
  </si>
  <si>
    <t>Members Travel &amp; Sub</t>
  </si>
  <si>
    <t>STC Hospitality &amp; Presentations</t>
  </si>
  <si>
    <t>Civic Events - Mayors Inaugaration</t>
  </si>
  <si>
    <t>Ceremonial Events - BOB/ Remberance/ Burghley Sermon</t>
  </si>
  <si>
    <t>STC Events - Spooktacular/ Carols/ VE Day etc</t>
  </si>
  <si>
    <t>Christmas Lights inc Anchor Testing</t>
  </si>
  <si>
    <t>Misc Income</t>
  </si>
  <si>
    <t>Contracted services Pest Control/Trade Waste</t>
  </si>
  <si>
    <t>Cleaning Supplies All Site</t>
  </si>
  <si>
    <t>Advertising</t>
  </si>
  <si>
    <t>Legal &amp; Professional</t>
  </si>
  <si>
    <t>Insurance</t>
  </si>
  <si>
    <t>Audit Fees</t>
  </si>
  <si>
    <t>Election Costs</t>
  </si>
  <si>
    <t>Legal Services</t>
  </si>
  <si>
    <t>Subscriptions</t>
  </si>
  <si>
    <t>HR Services</t>
  </si>
  <si>
    <t>Payroll services</t>
  </si>
  <si>
    <t>Finance</t>
  </si>
  <si>
    <t>Staffing Costs</t>
  </si>
  <si>
    <t>Office Running Costs</t>
  </si>
  <si>
    <t>Salaries</t>
  </si>
  <si>
    <t>Employers NI</t>
  </si>
  <si>
    <t>Employers Pensions</t>
  </si>
  <si>
    <t>Staff Recruitment</t>
  </si>
  <si>
    <t>Printing &amp; Stationery</t>
  </si>
  <si>
    <t>Postage</t>
  </si>
  <si>
    <t>Telephone Office &amp; Staff Mobiles</t>
  </si>
  <si>
    <t>Shredding</t>
  </si>
  <si>
    <t>Office &amp; IT Equipment</t>
  </si>
  <si>
    <t>IT Software</t>
  </si>
  <si>
    <t>Misc Expenditure</t>
  </si>
  <si>
    <t>Website</t>
  </si>
  <si>
    <t>Newsletter</t>
  </si>
  <si>
    <t>Furniture/ Fittings/Tableware</t>
  </si>
  <si>
    <t>Staff Uniforms</t>
  </si>
  <si>
    <t>Refreshments</t>
  </si>
  <si>
    <t>RLS Repairs &amp; Maintenance</t>
  </si>
  <si>
    <t>Bank Service Charges</t>
  </si>
  <si>
    <t>Trees</t>
  </si>
  <si>
    <t>Subtotal</t>
  </si>
  <si>
    <t>Actual 2023-24</t>
  </si>
  <si>
    <t>Est. Outturn 2024-25</t>
  </si>
  <si>
    <t>Budget 2024-25</t>
  </si>
  <si>
    <t>Forecast Budget 2025-26</t>
  </si>
  <si>
    <t>Committee: Assets &amp; Services</t>
  </si>
  <si>
    <t>Committee: Heritage &amp; Collections</t>
  </si>
  <si>
    <t>Committee: Finance &amp; Governance</t>
  </si>
  <si>
    <t>A&amp;S Suplies &amp; Services</t>
  </si>
  <si>
    <t>Committee: Civic &amp; Community</t>
  </si>
  <si>
    <t>Allotments Expenditure-Income</t>
  </si>
  <si>
    <t>Cemetery Expenditure-Income</t>
  </si>
  <si>
    <t>Town Hall Expenditure-Income</t>
  </si>
  <si>
    <t>RLS Toilet</t>
  </si>
  <si>
    <t>RLS Toilet Expenditure-Income</t>
  </si>
  <si>
    <t>Bastion Expenditure-Income</t>
  </si>
  <si>
    <t>Meadows Expenditure-Income</t>
  </si>
  <si>
    <t>Recreation Ground Expenditure-Income</t>
  </si>
  <si>
    <t>Sports Fields Expenditure-Income</t>
  </si>
  <si>
    <t>General Grounds &amp; Maintenance  Expenditure-Income</t>
  </si>
  <si>
    <t>A&amp;S Suplies &amp; Services Expenditure-Income</t>
  </si>
  <si>
    <t>Programmed Event Hire Expenditure-Income</t>
  </si>
  <si>
    <t>Town Hall Hire Expenditure-Income</t>
  </si>
  <si>
    <t>Recreation Ground Hire Expenditure-Income</t>
  </si>
  <si>
    <t>RLS Arts &amp; Craft Traders Expenditure-Income</t>
  </si>
  <si>
    <t>Cemetery Lodge &amp; Out Buildings lease Expenditure-Income</t>
  </si>
  <si>
    <t>Sports Fields Hire &amp; Lease Expenditure-Income</t>
  </si>
  <si>
    <t>Collections Management Expenditure-Income</t>
  </si>
  <si>
    <t>Grants and Contributions Expenditure-Income</t>
  </si>
  <si>
    <t>Misc Expenditure-Income</t>
  </si>
  <si>
    <t>Legal &amp; Professional Expenditure-Income</t>
  </si>
  <si>
    <t>Finance Expenditure-Income</t>
  </si>
  <si>
    <t>Staffing Costs Expenditure-Income</t>
  </si>
  <si>
    <t>Office Running Costs Expenditure-Income</t>
  </si>
  <si>
    <t>STC Civic &amp; Community Events Expenditure-Income</t>
  </si>
  <si>
    <t>A&amp;S Expenditure Misc</t>
  </si>
  <si>
    <t>Half year</t>
  </si>
  <si>
    <t>Total Earmarked Reserve Expenditure</t>
  </si>
  <si>
    <t>Elections</t>
  </si>
  <si>
    <t>Allotment Deposits (Ringfenced)</t>
  </si>
  <si>
    <t>Allotment Improvements (ringfenced)</t>
  </si>
  <si>
    <t>TH Furniture</t>
  </si>
  <si>
    <t>Riverbank &amp; Millstream Improvements</t>
  </si>
  <si>
    <t>Asset Transfers &amp; Legal Fees</t>
  </si>
  <si>
    <t>Utilities increase</t>
  </si>
  <si>
    <t>Computer Hardware &amp; MS Licence</t>
  </si>
  <si>
    <t>Network &amp; Wifi infrastructor</t>
  </si>
  <si>
    <t>2023-2024 Mayors Allowance</t>
  </si>
  <si>
    <t>2023-2024 Deputy Mayors Allowance</t>
  </si>
  <si>
    <t>G13-23-24 S&amp;D Lions</t>
  </si>
  <si>
    <t>G14-23-24 Stamford Station</t>
  </si>
  <si>
    <t>G15-23-24 Frank Newbon</t>
  </si>
  <si>
    <t>General Reserves</t>
  </si>
  <si>
    <t>Age UK Grant</t>
  </si>
  <si>
    <t>Sub Total</t>
  </si>
  <si>
    <t>Landings Project from EROB fee (P21 9/8/23) 30% of EROB fee</t>
  </si>
  <si>
    <t>Upkeep of Cemetery from EROB fee (P21 9/8/23) 20% of EROB fee</t>
  </si>
  <si>
    <t xml:space="preserve">Chapel &amp; Workshop Repairs </t>
  </si>
  <si>
    <t>EM Cemetery Assest Management 50% of EROB fee</t>
  </si>
  <si>
    <t>PO - Rutland &amp; Stamford Sounds PO220161 Xmas Market</t>
  </si>
  <si>
    <t>PO - SKDC PO2250131</t>
  </si>
  <si>
    <t>PO - Rutland &amp; Stamford Sounds PO Coronation</t>
  </si>
  <si>
    <t>PO - Rutland &amp; Stamford Sound Xmas Switch on</t>
  </si>
  <si>
    <t>PO - Rutland &amp; Stamford Sound Xmas Market</t>
  </si>
  <si>
    <t>PO - Beacon repairs</t>
  </si>
  <si>
    <t>PO - cheyne lane Xmas lights</t>
  </si>
  <si>
    <t>PO - SEC Wall fan RLS</t>
  </si>
  <si>
    <t>PO - RLS fire alarm</t>
  </si>
  <si>
    <t>PO - height barriers</t>
  </si>
  <si>
    <t>PO - Memorial Plaque</t>
  </si>
  <si>
    <t>PO - Sovereign play equipment repairs</t>
  </si>
  <si>
    <t>PO - Work to gents Toilet TH</t>
  </si>
  <si>
    <t>PO - Mayoral Board</t>
  </si>
  <si>
    <t>PO - allotment roads</t>
  </si>
  <si>
    <t>PO - Allotment works</t>
  </si>
  <si>
    <t>PO - radar scan</t>
  </si>
  <si>
    <t>PO - Modes</t>
  </si>
  <si>
    <t>PO - Spinks</t>
  </si>
  <si>
    <t>PO - Sage</t>
  </si>
  <si>
    <t>PO - Ricoh printer rental &amp; Charges</t>
  </si>
  <si>
    <t>PO - condition assessment</t>
  </si>
  <si>
    <t>Programmed Event Deposits (Ringfenced)</t>
  </si>
  <si>
    <t>Total Funds</t>
  </si>
  <si>
    <t>Committee: Assets &amp; Services Total</t>
  </si>
  <si>
    <t>Committee: Heritage &amp; Collections Total</t>
  </si>
  <si>
    <t>Committee: Finance &amp; Governance Total</t>
  </si>
  <si>
    <t>Administration Total</t>
  </si>
  <si>
    <t>Committee: Civic &amp; Community Total</t>
  </si>
  <si>
    <t>Total Town Hall Expenditure-Income</t>
  </si>
  <si>
    <t>TotalCemetery Expenditure-Income</t>
  </si>
  <si>
    <t>Total RLS Expenditure-Income</t>
  </si>
  <si>
    <t>Total Meadows Expenditure-Income</t>
  </si>
  <si>
    <t>Total Administration Expenditure-Income</t>
  </si>
  <si>
    <t>Total Heritage &amp; Collections Expenditure-Income</t>
  </si>
  <si>
    <t>Total STC Civic &amp; Community Events Expenditure-Income</t>
  </si>
  <si>
    <t>Forecast Budget amount unspent 2025-26</t>
  </si>
  <si>
    <t>Total Funds require for precept</t>
  </si>
  <si>
    <t xml:space="preserve"> 3 months running cost</t>
  </si>
  <si>
    <t xml:space="preserve"> 4 months running cost</t>
  </si>
  <si>
    <t xml:space="preserve"> 5 months running cost</t>
  </si>
  <si>
    <t xml:space="preserve"> 6 months running cost</t>
  </si>
  <si>
    <t>1 months running cost</t>
  </si>
  <si>
    <t>2% increase</t>
  </si>
  <si>
    <t>2.5% increase</t>
  </si>
  <si>
    <t>Amount short by for 3 months running cost</t>
  </si>
  <si>
    <t>Amount we would need to cover all costs</t>
  </si>
  <si>
    <t>Total Finance Expenditure-Income</t>
  </si>
  <si>
    <t>A&amp;S Supplies &amp; Services</t>
  </si>
  <si>
    <t>General Reserves C/F</t>
  </si>
  <si>
    <t>O/B Earmarked Projects &amp; General Reserves</t>
  </si>
  <si>
    <t>PO- Accreditation Docs</t>
  </si>
  <si>
    <t>PO- Historic Panels</t>
  </si>
  <si>
    <t>PO- Workshops for school</t>
  </si>
  <si>
    <t>PO- Civic Parade</t>
  </si>
  <si>
    <t>Actual figure due to general not being correct as Age UK grant was not caculated and hidden in the 250 in ccla and only 210 down as 6 months running cost</t>
  </si>
  <si>
    <t>Committed Projects</t>
  </si>
  <si>
    <t>Restricted Funds</t>
  </si>
  <si>
    <t>D/P/R</t>
  </si>
  <si>
    <t>P</t>
  </si>
  <si>
    <t>D/P</t>
  </si>
  <si>
    <t>D/P/R*</t>
  </si>
  <si>
    <t>D</t>
  </si>
  <si>
    <t>P/R</t>
  </si>
  <si>
    <t>Approved by Council</t>
  </si>
  <si>
    <t xml:space="preserve">Deposits held/ Ringfences budgets and Purchase Orders unspent from 24-25 Retained Profit forecast not guaranteed </t>
  </si>
  <si>
    <t>D/R</t>
  </si>
  <si>
    <t>P/R/Del</t>
  </si>
  <si>
    <t>s.111</t>
  </si>
  <si>
    <t xml:space="preserve">s.137 </t>
  </si>
  <si>
    <t>Collections Software to manage STC Collections</t>
  </si>
  <si>
    <t>STC Collections Management</t>
  </si>
  <si>
    <t>Museum &amp; STC Collection Project</t>
  </si>
  <si>
    <t>Conservation of STC Collections</t>
  </si>
  <si>
    <t>H&amp;C Acquisitions to STC Collection</t>
  </si>
  <si>
    <t>s.145</t>
  </si>
  <si>
    <t>s.137</t>
  </si>
  <si>
    <t>s.145/s.137</t>
  </si>
  <si>
    <t xml:space="preserve">s.111 </t>
  </si>
  <si>
    <t>3 months running cost</t>
  </si>
  <si>
    <t>General Reserves 3 months running cost</t>
  </si>
  <si>
    <t>Committed Projects C/F</t>
  </si>
  <si>
    <t>Nom 7252&amp;7255</t>
  </si>
  <si>
    <t>Nom 7253&amp;7254</t>
  </si>
  <si>
    <t>Nom 7256&amp;7260</t>
  </si>
  <si>
    <t>Nom7261</t>
  </si>
  <si>
    <t>Nom 4200</t>
  </si>
  <si>
    <t>Nom4210</t>
  </si>
  <si>
    <t>Nom4220</t>
  </si>
  <si>
    <t>Nom7032&amp;7033</t>
  </si>
  <si>
    <t>Nom 7302&amp;7304&amp;7305</t>
  </si>
  <si>
    <t>New</t>
  </si>
  <si>
    <t>softwear came from RF last yr</t>
  </si>
  <si>
    <t>Nom7320</t>
  </si>
  <si>
    <t>Nom7340</t>
  </si>
  <si>
    <t>Nom4300</t>
  </si>
  <si>
    <t>Nom4301</t>
  </si>
  <si>
    <t>Nom4302</t>
  </si>
  <si>
    <t>Nom4307</t>
  </si>
  <si>
    <t>Nom 7041</t>
  </si>
  <si>
    <t>Nom4011</t>
  </si>
  <si>
    <t>Cemetery Lodge Letting &amp; Outbuilding Letting</t>
  </si>
  <si>
    <t>Nom8025</t>
  </si>
  <si>
    <t>Nom8119</t>
  </si>
  <si>
    <t>Nom8105</t>
  </si>
  <si>
    <t>Nom8053</t>
  </si>
  <si>
    <t>Nom8139</t>
  </si>
  <si>
    <t>Nom8071</t>
  </si>
  <si>
    <t>Nom8140</t>
  </si>
  <si>
    <t>Nom8132</t>
  </si>
  <si>
    <t>Nom7053&amp;7057&amp;7052</t>
  </si>
  <si>
    <t>Nom7058&amp;7059</t>
  </si>
  <si>
    <t>Nom7063</t>
  </si>
  <si>
    <t>Town Hall Hire licence/misc/Civil</t>
  </si>
  <si>
    <t>Nom7067</t>
  </si>
  <si>
    <t>Nom4050</t>
  </si>
  <si>
    <t>Nom4052</t>
  </si>
  <si>
    <t>Nom4602</t>
  </si>
  <si>
    <t>Nom8134</t>
  </si>
  <si>
    <t>Nom8060</t>
  </si>
  <si>
    <t>Nom7360&amp;7362</t>
  </si>
  <si>
    <t>Nom7362</t>
  </si>
  <si>
    <t>Nom 4455</t>
  </si>
  <si>
    <t>Nom4510</t>
  </si>
  <si>
    <t>Nom4511</t>
  </si>
  <si>
    <t>Nom7451</t>
  </si>
  <si>
    <t>Paid from Interment fee income</t>
  </si>
  <si>
    <t>Nom7034&amp;7404&amp;7402</t>
  </si>
  <si>
    <t>Nom7036&amp;7037&amp;7038</t>
  </si>
  <si>
    <t>Nom7412&amp;7421&amp;7406</t>
  </si>
  <si>
    <t>Nom4014</t>
  </si>
  <si>
    <t>Nom4501&amp;4502</t>
  </si>
  <si>
    <t>Nom8037</t>
  </si>
  <si>
    <t>Nom8136</t>
  </si>
  <si>
    <t>Nom8141</t>
  </si>
  <si>
    <t>The Shack</t>
  </si>
  <si>
    <t>Empingham &amp; Uffington Playing Field Misc</t>
  </si>
  <si>
    <t>Nom7416</t>
  </si>
  <si>
    <t>Nom4504</t>
  </si>
  <si>
    <t>Nom4505</t>
  </si>
  <si>
    <t>Nom4006</t>
  </si>
  <si>
    <t>GM LCC Grass Verges Contribution &amp;open spaces</t>
  </si>
  <si>
    <t>Nom7023&amp;7024</t>
  </si>
  <si>
    <t>Part funded  from LCC Grass Income</t>
  </si>
  <si>
    <t>Nom7400</t>
  </si>
  <si>
    <t>Nom7263</t>
  </si>
  <si>
    <t>Nom7415</t>
  </si>
  <si>
    <t>GM Meadows &amp; Recreation Ground</t>
  </si>
  <si>
    <t>Nom7232&amp;7054</t>
  </si>
  <si>
    <t>Nom7237&amp;7238&amp;7363</t>
  </si>
  <si>
    <t>Nom7234</t>
  </si>
  <si>
    <t>Nom7235</t>
  </si>
  <si>
    <t>Nom4053</t>
  </si>
  <si>
    <t>Memorial Benches/bins/trees/ Misc</t>
  </si>
  <si>
    <t>Nom8091</t>
  </si>
  <si>
    <t>Nom8099</t>
  </si>
  <si>
    <t>Nom8040</t>
  </si>
  <si>
    <t>Nom8115</t>
  </si>
  <si>
    <t>Nom8116</t>
  </si>
  <si>
    <t>Nom8117</t>
  </si>
  <si>
    <t>Nom8118</t>
  </si>
  <si>
    <t>Nom8001</t>
  </si>
  <si>
    <t>Nom8038</t>
  </si>
  <si>
    <t>Nom8039</t>
  </si>
  <si>
    <t>Nom8120</t>
  </si>
  <si>
    <t>Nom8121</t>
  </si>
  <si>
    <t>Nom8122</t>
  </si>
  <si>
    <t>Nom7503</t>
  </si>
  <si>
    <t>Nom7502&amp;7504&amp;7508</t>
  </si>
  <si>
    <t>Nom7505</t>
  </si>
  <si>
    <t>Nom7507</t>
  </si>
  <si>
    <t>Nom4051</t>
  </si>
  <si>
    <t>Nom4054</t>
  </si>
  <si>
    <t>Nom4520</t>
  </si>
  <si>
    <t>Nom7069</t>
  </si>
  <si>
    <t>Nom7499</t>
  </si>
  <si>
    <t>Nom4630</t>
  </si>
  <si>
    <t>Nom7498</t>
  </si>
  <si>
    <t>Nom7600</t>
  </si>
  <si>
    <t>Nom7800</t>
  </si>
  <si>
    <t>Nom7064</t>
  </si>
  <si>
    <t>incresed to cover all advertising</t>
  </si>
  <si>
    <t>Nom4008</t>
  </si>
  <si>
    <t>Nom7008</t>
  </si>
  <si>
    <t>Nom7019</t>
  </si>
  <si>
    <t>Nom7025</t>
  </si>
  <si>
    <t>Nom7015</t>
  </si>
  <si>
    <t>Nom7018</t>
  </si>
  <si>
    <t>Nom7022</t>
  </si>
  <si>
    <t>Nom8129</t>
  </si>
  <si>
    <t>Nom8130</t>
  </si>
  <si>
    <t>hidden in the running cost held with CCLA</t>
  </si>
  <si>
    <t>Nom8005</t>
  </si>
  <si>
    <t>Nom8101</t>
  </si>
  <si>
    <t>Nom8011</t>
  </si>
  <si>
    <t>Nom7003</t>
  </si>
  <si>
    <t>Nom 7006</t>
  </si>
  <si>
    <t>Nom7007</t>
  </si>
  <si>
    <t>Staff Training/ Travel &amp; Subsistance</t>
  </si>
  <si>
    <t>Nom7061</t>
  </si>
  <si>
    <t>Nom7009</t>
  </si>
  <si>
    <t>Nom7010</t>
  </si>
  <si>
    <t>Nom7012</t>
  </si>
  <si>
    <t>Nom7014</t>
  </si>
  <si>
    <t>Nom7016</t>
  </si>
  <si>
    <t>Nom7017</t>
  </si>
  <si>
    <t>Nom7028</t>
  </si>
  <si>
    <t>Nom7030</t>
  </si>
  <si>
    <t>Nom7065</t>
  </si>
  <si>
    <t>Nom7100</t>
  </si>
  <si>
    <t>Nom7101</t>
  </si>
  <si>
    <t>Nom7102</t>
  </si>
  <si>
    <t>Nom7103</t>
  </si>
  <si>
    <t>Nom7104&amp;7105&amp;7106</t>
  </si>
  <si>
    <t>Nom7204</t>
  </si>
  <si>
    <t>Nom7202&amp;7201</t>
  </si>
  <si>
    <t>Nom7200&amp;7231</t>
  </si>
  <si>
    <t>Nom7040&amp;7020</t>
  </si>
  <si>
    <t>Nom4702&amp;4018</t>
  </si>
  <si>
    <t>Nom4003</t>
  </si>
  <si>
    <t>Nom4600</t>
  </si>
  <si>
    <t>Nom8016</t>
  </si>
  <si>
    <t>Nom8017</t>
  </si>
  <si>
    <t>Nom8035</t>
  </si>
  <si>
    <t>Nom8123</t>
  </si>
  <si>
    <t>Nom8124</t>
  </si>
  <si>
    <t>Nom8125</t>
  </si>
  <si>
    <t>Nom8126</t>
  </si>
  <si>
    <t>Nom8127</t>
  </si>
  <si>
    <t>Nom8135</t>
  </si>
  <si>
    <t>Nom8142</t>
  </si>
  <si>
    <t>Nom8143</t>
  </si>
  <si>
    <t>Nom8144</t>
  </si>
  <si>
    <t>Held in CCLA</t>
  </si>
  <si>
    <t>all came from CP Ly</t>
  </si>
  <si>
    <t>Amount short by for 4 months running cost</t>
  </si>
  <si>
    <t>Amount short by for 5 months running cost</t>
  </si>
  <si>
    <t>Amount short by for 6 months running cost</t>
  </si>
  <si>
    <t>Contract changed part way through the year</t>
  </si>
  <si>
    <t>incorrect Po created in 2022</t>
  </si>
  <si>
    <t>MS365 licence not budgeted for</t>
  </si>
  <si>
    <t xml:space="preserve">£24590 spent on Septic Tank, £8581.36 spent on GM contract for 2023 not paid last year, £1075 Legionella assesment,£1574,05 RLS repairs </t>
  </si>
  <si>
    <t>Comment</t>
  </si>
  <si>
    <t>Nom Code</t>
  </si>
  <si>
    <t>Need to under take clearance works costing £6250 &amp; Property Condition Report costing approx £1000 and any repairs from that survey</t>
  </si>
  <si>
    <t>Paid from Programmed Event Deposits Income</t>
  </si>
  <si>
    <t>Includes held depostit for Virgin Balloons; Pinders Circus and Wood Fair</t>
  </si>
  <si>
    <t>Paid for by family</t>
  </si>
  <si>
    <t>Electric costs not factored into the budget</t>
  </si>
  <si>
    <t>usually have 4 a year this year only 1 due to funds and incresed cost for priniting and design</t>
  </si>
  <si>
    <t>Staff NI contribution is included in this figure</t>
  </si>
  <si>
    <t>Staff Pension Contribution is included in this figure</t>
  </si>
  <si>
    <t>Operatives have not had uniform for 2 years</t>
  </si>
  <si>
    <t xml:space="preserve">ly included training </t>
  </si>
  <si>
    <t xml:space="preserve">to include microsoft licence which was paid from CP </t>
  </si>
  <si>
    <t>to include Photocopier which was paid from CP LY</t>
  </si>
  <si>
    <t>Precept budget needed</t>
  </si>
  <si>
    <t>Precept 2024-25</t>
  </si>
  <si>
    <t>Museum Project Planning</t>
  </si>
  <si>
    <t>Musuem Store Condition Surveyof the store, feasability studies, NLHF pre planning</t>
  </si>
  <si>
    <t>Conservation of STC nationally significant paintings, Mayoral boards, Mace</t>
  </si>
  <si>
    <t xml:space="preserve">Air quality &amp; Black Mold Survey, visitor experence </t>
  </si>
  <si>
    <t>Escape Room/Cellar development</t>
  </si>
  <si>
    <t>To support planning development and serve match funding for external grants which require a dedicated fund</t>
  </si>
  <si>
    <t>To purcase item to support the exsisting collections</t>
  </si>
  <si>
    <t>STC Collections Exhibition &amp; Displays</t>
  </si>
  <si>
    <t>New case for Regalia, Interpritaions board, exhibition brief, designers</t>
  </si>
  <si>
    <t>Accreditaion Requirement, Development Plan, School access</t>
  </si>
  <si>
    <t>Training for Volunteer Guides, Conservation Training</t>
  </si>
  <si>
    <t>Modes subscription,Aim, British Newspapers Online, GEM, Civic Society</t>
  </si>
  <si>
    <t>Coin storage, archive storage, MS Storage, cataloguing, envirnomental controls , Xray of the mace</t>
  </si>
  <si>
    <t>Finance Totals</t>
  </si>
  <si>
    <t>A&amp;S Totals</t>
  </si>
  <si>
    <t>0% increase</t>
  </si>
  <si>
    <t>Precept Requirement 2025/26</t>
  </si>
  <si>
    <t>2025/26 Band D Increase/decrease</t>
  </si>
  <si>
    <t>Parish Band D Tax Rate</t>
  </si>
  <si>
    <t>2024/25 Band D Charge</t>
  </si>
  <si>
    <t>4.20% increase</t>
  </si>
  <si>
    <t>Restricted Funds C/F</t>
  </si>
  <si>
    <t>Expenditure from CP/RF</t>
  </si>
  <si>
    <t>2025/26 forcast of Retained Profit</t>
  </si>
  <si>
    <t>C/F Total Retained profit for 2025/26</t>
  </si>
  <si>
    <t>Retained Profit 2024/25</t>
  </si>
  <si>
    <t>Forecast Budget 2024-25</t>
  </si>
  <si>
    <t>6.70%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</si>
</sst>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18"/>
      <color rgb="FF000000"/>
      <name val="Tahoma"/>
      <family val="2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sz val="11"/>
      <color theme="1"/>
      <name val="Times New Roman"/>
      <family val="1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/>
    <xf numFmtId="0" fontId="4" fillId="0" borderId="0" xfId="0" applyFont="1"/>
    <xf numFmtId="0" fontId="5" fillId="0" borderId="0" xfId="0" applyFont="1"/>
    <xf numFmtId="44" fontId="0" fillId="0" borderId="0" xfId="0" applyNumberFormat="1"/>
    <xf numFmtId="44" fontId="1" fillId="0" borderId="0" xfId="0" applyNumberFormat="1" applyFont="1"/>
    <xf numFmtId="44" fontId="6" fillId="0" borderId="0" xfId="0" applyNumberFormat="1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/>
    <xf numFmtId="0" fontId="10" fillId="0" borderId="0" xfId="0" applyFont="1" applyAlignment="1">
      <alignment horizontal="left"/>
    </xf>
    <xf numFmtId="44" fontId="9" fillId="0" borderId="0" xfId="0" applyNumberFormat="1" applyFont="1"/>
    <xf numFmtId="0" fontId="9" fillId="2" borderId="1" xfId="0" applyFont="1" applyFill="1" applyBorder="1"/>
    <xf numFmtId="0" fontId="6" fillId="2" borderId="1" xfId="0" applyFont="1" applyFill="1" applyBorder="1"/>
    <xf numFmtId="44" fontId="9" fillId="2" borderId="1" xfId="0" applyNumberFormat="1" applyFont="1" applyFill="1" applyBorder="1"/>
    <xf numFmtId="0" fontId="8" fillId="2" borderId="1" xfId="0" applyFont="1" applyFill="1" applyBorder="1" applyAlignment="1">
      <alignment horizontal="left"/>
    </xf>
    <xf numFmtId="0" fontId="10" fillId="0" borderId="0" xfId="0" applyFont="1"/>
    <xf numFmtId="44" fontId="10" fillId="0" borderId="0" xfId="0" applyNumberFormat="1" applyFont="1"/>
    <xf numFmtId="44" fontId="10" fillId="0" borderId="0" xfId="0" applyNumberFormat="1" applyFont="1" applyAlignment="1">
      <alignment horizontal="right"/>
    </xf>
    <xf numFmtId="0" fontId="7" fillId="0" borderId="0" xfId="0" applyFont="1"/>
    <xf numFmtId="0" fontId="11" fillId="2" borderId="1" xfId="0" applyFont="1" applyFill="1" applyBorder="1"/>
    <xf numFmtId="0" fontId="13" fillId="0" borderId="0" xfId="0" applyFont="1" applyAlignment="1">
      <alignment horizontal="left"/>
    </xf>
    <xf numFmtId="44" fontId="9" fillId="0" borderId="0" xfId="0" applyNumberFormat="1" applyFont="1" applyAlignment="1">
      <alignment wrapText="1"/>
    </xf>
    <xf numFmtId="44" fontId="1" fillId="0" borderId="0" xfId="0" applyNumberFormat="1" applyFont="1" applyAlignment="1">
      <alignment wrapText="1"/>
    </xf>
    <xf numFmtId="44" fontId="11" fillId="2" borderId="1" xfId="0" applyNumberFormat="1" applyFont="1" applyFill="1" applyBorder="1"/>
    <xf numFmtId="0" fontId="5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9" fillId="2" borderId="1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0" xfId="0" applyFont="1"/>
    <xf numFmtId="0" fontId="2" fillId="2" borderId="1" xfId="0" applyFont="1" applyFill="1" applyBorder="1" applyAlignment="1">
      <alignment horizontal="left"/>
    </xf>
    <xf numFmtId="44" fontId="1" fillId="2" borderId="1" xfId="0" applyNumberFormat="1" applyFont="1" applyFill="1" applyBorder="1"/>
    <xf numFmtId="0" fontId="1" fillId="2" borderId="1" xfId="0" applyFont="1" applyFill="1" applyBorder="1"/>
    <xf numFmtId="44" fontId="2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/>
    </xf>
    <xf numFmtId="0" fontId="1" fillId="0" borderId="0" xfId="0" applyFont="1" applyAlignment="1">
      <alignment wrapText="1"/>
    </xf>
    <xf numFmtId="44" fontId="0" fillId="0" borderId="0" xfId="0" applyNumberFormat="1" applyAlignment="1">
      <alignment wrapText="1"/>
    </xf>
    <xf numFmtId="0" fontId="11" fillId="0" borderId="0" xfId="0" applyFont="1"/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7" fillId="0" borderId="0" xfId="0" applyFont="1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/>
    <xf numFmtId="44" fontId="6" fillId="3" borderId="0" xfId="0" applyNumberFormat="1" applyFont="1" applyFill="1"/>
    <xf numFmtId="44" fontId="0" fillId="4" borderId="0" xfId="0" applyNumberFormat="1" applyFill="1"/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44" fontId="0" fillId="3" borderId="0" xfId="0" applyNumberFormat="1" applyFill="1"/>
    <xf numFmtId="0" fontId="0" fillId="0" borderId="0" xfId="0" applyAlignment="1">
      <alignment vertical="top"/>
    </xf>
    <xf numFmtId="44" fontId="0" fillId="0" borderId="3" xfId="0" applyNumberFormat="1" applyBorder="1"/>
    <xf numFmtId="0" fontId="1" fillId="0" borderId="2" xfId="0" applyFont="1" applyBorder="1"/>
    <xf numFmtId="0" fontId="13" fillId="0" borderId="1" xfId="0" applyFont="1" applyBorder="1" applyAlignment="1">
      <alignment horizontal="left"/>
    </xf>
    <xf numFmtId="44" fontId="0" fillId="4" borderId="4" xfId="0" applyNumberFormat="1" applyFill="1" applyBorder="1"/>
    <xf numFmtId="44" fontId="6" fillId="0" borderId="0" xfId="0" applyNumberFormat="1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5D32-4728-4BB8-920B-8BB89C3D23A5}">
  <sheetPr>
    <pageSetUpPr fitToPage="1"/>
  </sheetPr>
  <dimension ref="A3:I178"/>
  <sheetViews>
    <sheetView topLeftCell="A159" zoomScale="140" zoomScaleNormal="140" workbookViewId="0">
      <selection activeCell="A174" sqref="A174"/>
    </sheetView>
  </sheetViews>
  <sheetFormatPr defaultColWidth="8.7109375" defaultRowHeight="15" x14ac:dyDescent="0.25"/>
  <cols>
    <col min="1" max="1" width="49.42578125" customWidth="1"/>
    <col min="2" max="2" width="14.42578125" customWidth="1"/>
    <col min="3" max="3" width="14.42578125" style="6" bestFit="1" customWidth="1"/>
    <col min="4" max="4" width="18" customWidth="1"/>
    <col min="5" max="5" width="14.140625" customWidth="1"/>
    <col min="6" max="6" width="14.42578125" customWidth="1"/>
    <col min="7" max="7" width="12.7109375" customWidth="1"/>
    <col min="8" max="8" width="14.140625" customWidth="1"/>
    <col min="9" max="9" width="12.7109375" bestFit="1" customWidth="1"/>
  </cols>
  <sheetData>
    <row r="3" spans="1:3" ht="24" x14ac:dyDescent="0.4">
      <c r="A3" s="27" t="s">
        <v>125</v>
      </c>
    </row>
    <row r="4" spans="1:3" ht="45" x14ac:dyDescent="0.25">
      <c r="A4" s="3" t="s">
        <v>0</v>
      </c>
      <c r="B4" s="25" t="s">
        <v>122</v>
      </c>
      <c r="C4" s="25" t="s">
        <v>124</v>
      </c>
    </row>
    <row r="5" spans="1:3" x14ac:dyDescent="0.25">
      <c r="A5" s="2" t="s">
        <v>38</v>
      </c>
      <c r="B5" s="6">
        <f>Allotments!H16</f>
        <v>9312.3799999999992</v>
      </c>
      <c r="C5" s="6">
        <f>Allotments!I16</f>
        <v>-16906.150000000001</v>
      </c>
    </row>
    <row r="6" spans="1:3" x14ac:dyDescent="0.25">
      <c r="A6" s="2" t="s">
        <v>3</v>
      </c>
      <c r="B6" s="6">
        <f>Allotments!H17</f>
        <v>15441.25</v>
      </c>
      <c r="C6" s="6">
        <f>Allotments!I17</f>
        <v>16906.150000000001</v>
      </c>
    </row>
    <row r="7" spans="1:3" x14ac:dyDescent="0.25">
      <c r="A7" s="1" t="s">
        <v>120</v>
      </c>
      <c r="B7" s="7">
        <f>B5+B6</f>
        <v>24753.629999999997</v>
      </c>
      <c r="C7" s="7">
        <f>C5+C6</f>
        <v>0</v>
      </c>
    </row>
    <row r="8" spans="1:3" x14ac:dyDescent="0.25">
      <c r="A8" s="2" t="s">
        <v>236</v>
      </c>
      <c r="B8" s="6">
        <f>Allotments!H26</f>
        <v>14845</v>
      </c>
      <c r="C8" s="6">
        <f>Allotments!I26</f>
        <v>23547.8</v>
      </c>
    </row>
    <row r="9" spans="1:3" x14ac:dyDescent="0.25">
      <c r="A9" s="36" t="s">
        <v>202</v>
      </c>
      <c r="B9" s="37">
        <f>B7+B8</f>
        <v>39598.629999999997</v>
      </c>
      <c r="C9" s="37">
        <f>C7+C8</f>
        <v>23547.8</v>
      </c>
    </row>
    <row r="10" spans="1:3" x14ac:dyDescent="0.25">
      <c r="A10" s="1"/>
    </row>
    <row r="11" spans="1:3" ht="45" x14ac:dyDescent="0.25">
      <c r="A11" s="3" t="s">
        <v>4</v>
      </c>
      <c r="B11" s="25" t="s">
        <v>122</v>
      </c>
      <c r="C11" s="25" t="s">
        <v>124</v>
      </c>
    </row>
    <row r="12" spans="1:3" x14ac:dyDescent="0.25">
      <c r="A12" s="2" t="s">
        <v>38</v>
      </c>
      <c r="B12" s="6">
        <f>Cemetery!H23</f>
        <v>-25630.080000000002</v>
      </c>
      <c r="C12" s="6">
        <f>Cemetery!I23</f>
        <v>-26800</v>
      </c>
    </row>
    <row r="13" spans="1:3" x14ac:dyDescent="0.25">
      <c r="A13" s="2" t="s">
        <v>3</v>
      </c>
      <c r="B13" s="6">
        <f>Cemetery!H24</f>
        <v>60810.2</v>
      </c>
      <c r="C13" s="6">
        <f>Cemetery!I24</f>
        <v>61500</v>
      </c>
    </row>
    <row r="14" spans="1:3" x14ac:dyDescent="0.25">
      <c r="A14" s="1" t="s">
        <v>120</v>
      </c>
      <c r="B14" s="7">
        <f>B12+B13</f>
        <v>35180.119999999995</v>
      </c>
      <c r="C14" s="7">
        <f>C12+C13</f>
        <v>34700</v>
      </c>
    </row>
    <row r="15" spans="1:3" x14ac:dyDescent="0.25">
      <c r="A15" s="2" t="s">
        <v>236</v>
      </c>
      <c r="B15" s="6">
        <f>Cemetery!H33</f>
        <v>2830.35</v>
      </c>
      <c r="C15" s="6">
        <f>Cemetery!I33</f>
        <v>77479.850000000006</v>
      </c>
    </row>
    <row r="16" spans="1:3" x14ac:dyDescent="0.25">
      <c r="A16" s="2" t="s">
        <v>235</v>
      </c>
      <c r="B16" s="6">
        <f>Cemetery!H38</f>
        <v>20700</v>
      </c>
      <c r="C16" s="6">
        <f>Cemetery!I38</f>
        <v>111.92000000000189</v>
      </c>
    </row>
    <row r="17" spans="1:3" x14ac:dyDescent="0.25">
      <c r="A17" s="36" t="s">
        <v>202</v>
      </c>
      <c r="B17" s="37">
        <f>B14+B15+B16</f>
        <v>58710.469999999994</v>
      </c>
      <c r="C17" s="37">
        <f>C14+C15+C16</f>
        <v>112291.77</v>
      </c>
    </row>
    <row r="18" spans="1:3" x14ac:dyDescent="0.25">
      <c r="A18" s="1"/>
    </row>
    <row r="19" spans="1:3" ht="45" x14ac:dyDescent="0.25">
      <c r="A19" s="3" t="s">
        <v>26</v>
      </c>
      <c r="B19" s="25" t="s">
        <v>122</v>
      </c>
      <c r="C19" s="25" t="s">
        <v>124</v>
      </c>
    </row>
    <row r="20" spans="1:3" x14ac:dyDescent="0.25">
      <c r="A20" s="2" t="s">
        <v>38</v>
      </c>
      <c r="B20" s="6">
        <f>'Town Hall'!H18</f>
        <v>-40050.5</v>
      </c>
      <c r="C20" s="6">
        <f>'Town Hall'!I18</f>
        <v>-64650</v>
      </c>
    </row>
    <row r="21" spans="1:3" x14ac:dyDescent="0.25">
      <c r="A21" s="2" t="s">
        <v>3</v>
      </c>
      <c r="B21" s="6">
        <f>'Town Hall'!H19</f>
        <v>29112.86</v>
      </c>
      <c r="C21" s="6">
        <f>'Town Hall'!I19</f>
        <v>35000</v>
      </c>
    </row>
    <row r="22" spans="1:3" ht="15.75" customHeight="1" x14ac:dyDescent="0.25">
      <c r="A22" s="1" t="s">
        <v>120</v>
      </c>
      <c r="B22" s="7">
        <f>SUM(B20:B21)</f>
        <v>-10937.64</v>
      </c>
      <c r="C22" s="7">
        <f>SUM(C20:C21)</f>
        <v>-29650</v>
      </c>
    </row>
    <row r="23" spans="1:3" x14ac:dyDescent="0.25">
      <c r="A23" s="2" t="s">
        <v>235</v>
      </c>
      <c r="B23" s="6">
        <f>'Town Hall'!H31</f>
        <v>43342.94</v>
      </c>
      <c r="C23" s="6">
        <f>'Town Hall'!I31</f>
        <v>4598.8299999999963</v>
      </c>
    </row>
    <row r="24" spans="1:3" x14ac:dyDescent="0.25">
      <c r="A24" s="36" t="s">
        <v>202</v>
      </c>
      <c r="B24" s="37">
        <f>B22+B23</f>
        <v>32405.300000000003</v>
      </c>
      <c r="C24" s="37">
        <f>C22+C23</f>
        <v>-25051.170000000006</v>
      </c>
    </row>
    <row r="25" spans="1:3" x14ac:dyDescent="0.25">
      <c r="A25" s="1"/>
    </row>
    <row r="26" spans="1:3" ht="45" x14ac:dyDescent="0.25">
      <c r="A26" s="1" t="s">
        <v>25</v>
      </c>
      <c r="B26" s="25" t="s">
        <v>122</v>
      </c>
      <c r="C26" s="25" t="s">
        <v>124</v>
      </c>
    </row>
    <row r="27" spans="1:3" x14ac:dyDescent="0.25">
      <c r="A27" s="2" t="s">
        <v>38</v>
      </c>
      <c r="B27" s="6">
        <f>RLS!H12</f>
        <v>0</v>
      </c>
      <c r="C27" s="6">
        <f>RLS!I12</f>
        <v>-2000</v>
      </c>
    </row>
    <row r="28" spans="1:3" x14ac:dyDescent="0.25">
      <c r="A28" s="2" t="s">
        <v>3</v>
      </c>
      <c r="B28" s="6">
        <f>RLS!H13</f>
        <v>480</v>
      </c>
      <c r="C28" s="6">
        <f>RLS!I13</f>
        <v>2000</v>
      </c>
    </row>
    <row r="29" spans="1:3" x14ac:dyDescent="0.25">
      <c r="A29" s="1" t="s">
        <v>120</v>
      </c>
      <c r="B29" s="7">
        <f>SUM(B27:B28)</f>
        <v>480</v>
      </c>
      <c r="C29" s="7">
        <f>SUM(C27:C28)</f>
        <v>0</v>
      </c>
    </row>
    <row r="30" spans="1:3" x14ac:dyDescent="0.25">
      <c r="A30" s="36" t="s">
        <v>202</v>
      </c>
      <c r="B30" s="37">
        <f>B29</f>
        <v>480</v>
      </c>
      <c r="C30" s="37">
        <f>C29</f>
        <v>0</v>
      </c>
    </row>
    <row r="31" spans="1:3" x14ac:dyDescent="0.25">
      <c r="A31" s="1"/>
    </row>
    <row r="32" spans="1:3" ht="45" x14ac:dyDescent="0.25">
      <c r="A32" s="3" t="s">
        <v>27</v>
      </c>
      <c r="B32" s="25" t="s">
        <v>122</v>
      </c>
      <c r="C32" s="25" t="s">
        <v>124</v>
      </c>
    </row>
    <row r="33" spans="1:3" x14ac:dyDescent="0.25">
      <c r="A33" s="2" t="s">
        <v>38</v>
      </c>
      <c r="B33" s="6">
        <f>Bastion!K8</f>
        <v>0</v>
      </c>
      <c r="C33" s="6">
        <f>Bastion!L8</f>
        <v>-1000</v>
      </c>
    </row>
    <row r="34" spans="1:3" x14ac:dyDescent="0.25">
      <c r="A34" s="2" t="s">
        <v>3</v>
      </c>
      <c r="B34" s="6">
        <f>Bastion!K9</f>
        <v>0</v>
      </c>
      <c r="C34" s="6">
        <f>Bastion!L9</f>
        <v>0</v>
      </c>
    </row>
    <row r="35" spans="1:3" x14ac:dyDescent="0.25">
      <c r="A35" s="1" t="s">
        <v>120</v>
      </c>
      <c r="B35" s="7">
        <f>SUM(B33:B34)</f>
        <v>0</v>
      </c>
      <c r="C35" s="7">
        <f>SUM(C33:C34)</f>
        <v>-1000</v>
      </c>
    </row>
    <row r="36" spans="1:3" x14ac:dyDescent="0.25">
      <c r="A36" s="36" t="s">
        <v>202</v>
      </c>
      <c r="B36" s="37">
        <f>B35</f>
        <v>0</v>
      </c>
      <c r="C36" s="37">
        <f>C35</f>
        <v>-1000</v>
      </c>
    </row>
    <row r="37" spans="1:3" x14ac:dyDescent="0.25">
      <c r="A37" s="1"/>
    </row>
    <row r="38" spans="1:3" ht="45" x14ac:dyDescent="0.25">
      <c r="A38" s="3" t="s">
        <v>9</v>
      </c>
      <c r="B38" s="25" t="s">
        <v>122</v>
      </c>
      <c r="C38" s="25" t="s">
        <v>124</v>
      </c>
    </row>
    <row r="39" spans="1:3" x14ac:dyDescent="0.25">
      <c r="A39" s="2" t="s">
        <v>38</v>
      </c>
      <c r="B39" s="6">
        <f>Meadows!H18</f>
        <v>-3525</v>
      </c>
      <c r="C39" s="6">
        <f>Meadows!I18</f>
        <v>-1850</v>
      </c>
    </row>
    <row r="40" spans="1:3" x14ac:dyDescent="0.25">
      <c r="A40" s="2" t="s">
        <v>3</v>
      </c>
      <c r="B40" s="6">
        <f>Meadows!H19</f>
        <v>4081.36</v>
      </c>
      <c r="C40" s="6">
        <f>Meadows!I19</f>
        <v>4450</v>
      </c>
    </row>
    <row r="41" spans="1:3" x14ac:dyDescent="0.25">
      <c r="A41" s="1" t="s">
        <v>120</v>
      </c>
      <c r="B41" s="7">
        <f>SUM(B39:B40)</f>
        <v>556.36000000000013</v>
      </c>
      <c r="C41" s="7">
        <f>SUM(C39:C40)</f>
        <v>2600</v>
      </c>
    </row>
    <row r="42" spans="1:3" x14ac:dyDescent="0.25">
      <c r="A42" s="2" t="s">
        <v>236</v>
      </c>
      <c r="B42" s="6">
        <f>Meadows!H26</f>
        <v>0</v>
      </c>
      <c r="C42" s="6">
        <f>Meadows!I26</f>
        <v>1250</v>
      </c>
    </row>
    <row r="43" spans="1:3" x14ac:dyDescent="0.25">
      <c r="A43" s="2" t="s">
        <v>235</v>
      </c>
      <c r="B43" s="6">
        <f>Meadows!H30</f>
        <v>0</v>
      </c>
      <c r="C43" s="6">
        <f>Meadows!I30</f>
        <v>4000</v>
      </c>
    </row>
    <row r="44" spans="1:3" x14ac:dyDescent="0.25">
      <c r="A44" s="36" t="s">
        <v>202</v>
      </c>
      <c r="B44" s="37">
        <f>B41+B42+B43</f>
        <v>556.36000000000013</v>
      </c>
      <c r="C44" s="37">
        <f>C41+C42+C43</f>
        <v>7850</v>
      </c>
    </row>
    <row r="46" spans="1:3" ht="45" x14ac:dyDescent="0.25">
      <c r="A46" s="3" t="s">
        <v>11</v>
      </c>
      <c r="B46" s="25" t="s">
        <v>122</v>
      </c>
      <c r="C46" s="25" t="s">
        <v>124</v>
      </c>
    </row>
    <row r="47" spans="1:3" x14ac:dyDescent="0.25">
      <c r="A47" s="2" t="s">
        <v>38</v>
      </c>
      <c r="B47" s="6">
        <f>Rec!H15</f>
        <v>-21194</v>
      </c>
      <c r="C47" s="6">
        <f>Rec!I15</f>
        <v>-16500</v>
      </c>
    </row>
    <row r="48" spans="1:3" x14ac:dyDescent="0.25">
      <c r="A48" s="2" t="s">
        <v>3</v>
      </c>
      <c r="B48" s="6">
        <f>Rec!H16</f>
        <v>2335</v>
      </c>
      <c r="C48" s="6">
        <f>Rec!I16</f>
        <v>3000</v>
      </c>
    </row>
    <row r="49" spans="1:3" x14ac:dyDescent="0.25">
      <c r="A49" s="1" t="s">
        <v>120</v>
      </c>
      <c r="B49" s="7">
        <f>SUM(B47:B48)</f>
        <v>-18859</v>
      </c>
      <c r="C49" s="7">
        <f>SUM(C47:C48)</f>
        <v>-13500</v>
      </c>
    </row>
    <row r="50" spans="1:3" x14ac:dyDescent="0.25">
      <c r="A50" s="2" t="s">
        <v>236</v>
      </c>
      <c r="B50" s="6">
        <f>Rec!H23</f>
        <v>469.03999999999996</v>
      </c>
      <c r="C50" s="6">
        <f>Rec!I23</f>
        <v>2117.39</v>
      </c>
    </row>
    <row r="51" spans="1:3" x14ac:dyDescent="0.25">
      <c r="A51" s="2" t="s">
        <v>235</v>
      </c>
      <c r="B51" s="6">
        <f>Rec!H29</f>
        <v>773.5</v>
      </c>
      <c r="C51" s="6">
        <f>Rec!I29</f>
        <v>14226.5</v>
      </c>
    </row>
    <row r="52" spans="1:3" x14ac:dyDescent="0.25">
      <c r="A52" s="36" t="s">
        <v>202</v>
      </c>
      <c r="B52" s="37">
        <f>B49+B51</f>
        <v>-18085.5</v>
      </c>
      <c r="C52" s="37">
        <f>C49+C51</f>
        <v>726.5</v>
      </c>
    </row>
    <row r="54" spans="1:3" ht="45" x14ac:dyDescent="0.25">
      <c r="A54" s="3" t="s">
        <v>12</v>
      </c>
      <c r="B54" s="25" t="s">
        <v>122</v>
      </c>
      <c r="C54" s="25" t="s">
        <v>124</v>
      </c>
    </row>
    <row r="55" spans="1:3" x14ac:dyDescent="0.25">
      <c r="A55" s="2" t="s">
        <v>38</v>
      </c>
      <c r="B55" s="6">
        <f>'Sports Fields'!H13</f>
        <v>-4248</v>
      </c>
      <c r="C55" s="6">
        <f>'Sports Fields'!I13</f>
        <v>-5000</v>
      </c>
    </row>
    <row r="56" spans="1:3" x14ac:dyDescent="0.25">
      <c r="A56" s="2" t="s">
        <v>3</v>
      </c>
      <c r="B56" s="6">
        <f>'Sports Fields'!H14</f>
        <v>14310.9</v>
      </c>
      <c r="C56" s="6">
        <f>'Sports Fields'!I14</f>
        <v>11850</v>
      </c>
    </row>
    <row r="57" spans="1:3" x14ac:dyDescent="0.25">
      <c r="A57" s="1" t="s">
        <v>120</v>
      </c>
      <c r="B57" s="7">
        <f>SUM(B55:B56)</f>
        <v>10062.9</v>
      </c>
      <c r="C57" s="7">
        <f>SUM(C55:C56)</f>
        <v>6850</v>
      </c>
    </row>
    <row r="58" spans="1:3" x14ac:dyDescent="0.25">
      <c r="A58" s="36" t="s">
        <v>202</v>
      </c>
      <c r="B58" s="37">
        <f>B57</f>
        <v>10062.9</v>
      </c>
      <c r="C58" s="37">
        <f>C57</f>
        <v>6850</v>
      </c>
    </row>
    <row r="60" spans="1:3" ht="45" x14ac:dyDescent="0.25">
      <c r="A60" s="1" t="s">
        <v>46</v>
      </c>
      <c r="B60" s="25" t="s">
        <v>122</v>
      </c>
      <c r="C60" s="25" t="s">
        <v>124</v>
      </c>
    </row>
    <row r="61" spans="1:3" x14ac:dyDescent="0.25">
      <c r="A61" s="2" t="s">
        <v>38</v>
      </c>
      <c r="B61" s="6">
        <f>GM!K12</f>
        <v>-222407.55</v>
      </c>
      <c r="C61" s="6">
        <f>GM!L12</f>
        <v>-228218.46000000002</v>
      </c>
    </row>
    <row r="62" spans="1:3" x14ac:dyDescent="0.25">
      <c r="A62" s="2" t="s">
        <v>3</v>
      </c>
      <c r="B62" s="6">
        <f>GM!K13</f>
        <v>15241.2</v>
      </c>
      <c r="C62" s="6">
        <f>GM!L13</f>
        <v>14500</v>
      </c>
    </row>
    <row r="63" spans="1:3" x14ac:dyDescent="0.25">
      <c r="A63" s="1" t="s">
        <v>120</v>
      </c>
      <c r="B63" s="7">
        <f>B61+B62</f>
        <v>-207166.34999999998</v>
      </c>
      <c r="C63" s="7">
        <f>C61+C62</f>
        <v>-213718.46000000002</v>
      </c>
    </row>
    <row r="64" spans="1:3" x14ac:dyDescent="0.25">
      <c r="A64" s="36" t="s">
        <v>202</v>
      </c>
      <c r="B64" s="37">
        <f>B63</f>
        <v>-207166.34999999998</v>
      </c>
      <c r="C64" s="37">
        <f>C63</f>
        <v>-213718.46000000002</v>
      </c>
    </row>
    <row r="65" spans="1:4" x14ac:dyDescent="0.25">
      <c r="A65" s="1"/>
      <c r="B65" s="3"/>
      <c r="C65" s="7"/>
    </row>
    <row r="66" spans="1:4" ht="45" x14ac:dyDescent="0.25">
      <c r="A66" s="3" t="s">
        <v>227</v>
      </c>
      <c r="B66" s="25" t="s">
        <v>122</v>
      </c>
      <c r="C66" s="25" t="s">
        <v>124</v>
      </c>
    </row>
    <row r="67" spans="1:4" x14ac:dyDescent="0.25">
      <c r="A67" s="2" t="s">
        <v>38</v>
      </c>
      <c r="B67" s="6">
        <f>'A&amp;S Supplies'!H13</f>
        <v>-22405.52</v>
      </c>
      <c r="C67" s="6">
        <f>'A&amp;S Supplies'!I13</f>
        <v>-19500</v>
      </c>
    </row>
    <row r="68" spans="1:4" x14ac:dyDescent="0.25">
      <c r="A68" s="2" t="s">
        <v>3</v>
      </c>
      <c r="B68" s="6">
        <f>'A&amp;S Supplies'!H14</f>
        <v>0</v>
      </c>
      <c r="C68" s="6">
        <f>'A&amp;S Supplies'!I14</f>
        <v>0</v>
      </c>
    </row>
    <row r="69" spans="1:4" x14ac:dyDescent="0.25">
      <c r="A69" s="1" t="s">
        <v>120</v>
      </c>
      <c r="B69" s="7">
        <f>B67+B68</f>
        <v>-22405.52</v>
      </c>
      <c r="C69" s="7">
        <f>C67+C68</f>
        <v>-19500</v>
      </c>
    </row>
    <row r="70" spans="1:4" x14ac:dyDescent="0.25">
      <c r="A70" s="2" t="s">
        <v>235</v>
      </c>
      <c r="B70" s="6">
        <f>'A&amp;S Supplies'!H21</f>
        <v>45797.780000000006</v>
      </c>
      <c r="C70" s="6">
        <f>'A&amp;S Supplies'!I21</f>
        <v>-6226.850000000004</v>
      </c>
    </row>
    <row r="71" spans="1:4" x14ac:dyDescent="0.25">
      <c r="A71" s="36" t="s">
        <v>202</v>
      </c>
      <c r="B71" s="37">
        <f>B69+B70</f>
        <v>23392.260000000006</v>
      </c>
      <c r="C71" s="37">
        <f>C69+C70</f>
        <v>-25726.850000000006</v>
      </c>
    </row>
    <row r="72" spans="1:4" x14ac:dyDescent="0.25">
      <c r="A72" s="1"/>
    </row>
    <row r="73" spans="1:4" x14ac:dyDescent="0.25">
      <c r="A73" s="1" t="s">
        <v>451</v>
      </c>
    </row>
    <row r="74" spans="1:4" x14ac:dyDescent="0.25">
      <c r="A74" s="1" t="s">
        <v>38</v>
      </c>
      <c r="B74" s="6">
        <f>B5+B12+B20+B27+B33+B39+B47+B55+B61+B67</f>
        <v>-330148.27</v>
      </c>
      <c r="C74" s="6">
        <f>C5+C12+C20+C27+C33+C39+C47+C55+C61+C67</f>
        <v>-382424.61</v>
      </c>
    </row>
    <row r="75" spans="1:4" x14ac:dyDescent="0.25">
      <c r="A75" s="1" t="s">
        <v>3</v>
      </c>
      <c r="B75" s="6">
        <f>B6+B13+B21+B28+B34+B40+B48+B56+B62+B68</f>
        <v>141812.76999999999</v>
      </c>
      <c r="C75" s="6">
        <f>C6+C13+C21+C28+C34+C40+C48+C56+C62+C68</f>
        <v>149206.15</v>
      </c>
    </row>
    <row r="76" spans="1:4" x14ac:dyDescent="0.25">
      <c r="A76" s="1" t="s">
        <v>236</v>
      </c>
      <c r="B76" s="6">
        <f>B8+B15+B42+B50</f>
        <v>18144.39</v>
      </c>
      <c r="C76" s="6">
        <f>C8+C15+C42+C50</f>
        <v>104395.04000000001</v>
      </c>
    </row>
    <row r="77" spans="1:4" x14ac:dyDescent="0.25">
      <c r="A77" s="1" t="s">
        <v>235</v>
      </c>
      <c r="B77" s="6">
        <f>B16+B23+B43+B51+B70</f>
        <v>110614.22</v>
      </c>
      <c r="C77" s="6">
        <f>C16+C23+C43+C51+C70</f>
        <v>16710.399999999994</v>
      </c>
    </row>
    <row r="78" spans="1:4" ht="45" x14ac:dyDescent="0.3">
      <c r="A78" s="42" t="s">
        <v>203</v>
      </c>
      <c r="B78" s="37"/>
      <c r="C78" s="37">
        <f>C74+C75</f>
        <v>-233218.46</v>
      </c>
      <c r="D78" t="s">
        <v>435</v>
      </c>
    </row>
    <row r="79" spans="1:4" x14ac:dyDescent="0.25">
      <c r="A79" s="1"/>
    </row>
    <row r="80" spans="1:4" ht="48" x14ac:dyDescent="0.4">
      <c r="A80" s="27" t="s">
        <v>126</v>
      </c>
    </row>
    <row r="81" spans="1:4" ht="45" x14ac:dyDescent="0.25">
      <c r="A81" s="35" t="s">
        <v>16</v>
      </c>
      <c r="B81" s="25" t="s">
        <v>122</v>
      </c>
      <c r="C81" s="25" t="s">
        <v>124</v>
      </c>
    </row>
    <row r="82" spans="1:4" x14ac:dyDescent="0.25">
      <c r="A82" s="2" t="s">
        <v>38</v>
      </c>
      <c r="B82" s="6">
        <f>'H&amp;C'!K15</f>
        <v>-14571.38</v>
      </c>
      <c r="C82" s="6">
        <f>'H&amp;C'!L15</f>
        <v>-20867.510000000002</v>
      </c>
    </row>
    <row r="83" spans="1:4" x14ac:dyDescent="0.25">
      <c r="A83" s="2" t="s">
        <v>3</v>
      </c>
      <c r="B83" s="6">
        <f>'H&amp;C'!K16</f>
        <v>803.75</v>
      </c>
      <c r="C83" s="6">
        <f>'H&amp;C'!L16</f>
        <v>10150</v>
      </c>
    </row>
    <row r="84" spans="1:4" x14ac:dyDescent="0.25">
      <c r="A84" s="1" t="s">
        <v>120</v>
      </c>
      <c r="B84" s="7">
        <f>SUM(B82:B83)</f>
        <v>-13767.63</v>
      </c>
      <c r="C84" s="7">
        <f>SUM(C82:C83)</f>
        <v>-10717.510000000002</v>
      </c>
    </row>
    <row r="85" spans="1:4" x14ac:dyDescent="0.25">
      <c r="A85" s="2" t="s">
        <v>236</v>
      </c>
      <c r="B85" s="6">
        <f>'H&amp;C'!K27</f>
        <v>13538</v>
      </c>
      <c r="C85" s="6">
        <f>'H&amp;C'!L27</f>
        <v>6611</v>
      </c>
    </row>
    <row r="86" spans="1:4" x14ac:dyDescent="0.25">
      <c r="A86" s="2" t="s">
        <v>235</v>
      </c>
      <c r="B86" s="6">
        <f>'H&amp;C'!K36</f>
        <v>0</v>
      </c>
      <c r="C86" s="6">
        <f>'H&amp;C'!L36</f>
        <v>105906.06999999999</v>
      </c>
    </row>
    <row r="87" spans="1:4" x14ac:dyDescent="0.25">
      <c r="A87" s="36" t="s">
        <v>202</v>
      </c>
      <c r="B87" s="37">
        <f>B84+B85+B86</f>
        <v>-229.6299999999992</v>
      </c>
      <c r="C87" s="37">
        <f>C84+C85+C86</f>
        <v>101799.56</v>
      </c>
    </row>
    <row r="88" spans="1:4" x14ac:dyDescent="0.25">
      <c r="A88" s="1"/>
    </row>
    <row r="89" spans="1:4" ht="45" x14ac:dyDescent="0.3">
      <c r="A89" s="42" t="s">
        <v>204</v>
      </c>
      <c r="B89" s="37"/>
      <c r="C89" s="37">
        <f>C82+C83</f>
        <v>-10717.510000000002</v>
      </c>
      <c r="D89" t="s">
        <v>435</v>
      </c>
    </row>
    <row r="90" spans="1:4" ht="18.75" x14ac:dyDescent="0.3">
      <c r="A90" s="4"/>
    </row>
    <row r="91" spans="1:4" ht="48" x14ac:dyDescent="0.4">
      <c r="A91" s="27" t="s">
        <v>127</v>
      </c>
    </row>
    <row r="92" spans="1:4" ht="45" x14ac:dyDescent="0.25">
      <c r="A92" s="1" t="s">
        <v>17</v>
      </c>
      <c r="B92" s="25" t="s">
        <v>122</v>
      </c>
      <c r="C92" s="25" t="s">
        <v>124</v>
      </c>
    </row>
    <row r="93" spans="1:4" x14ac:dyDescent="0.25">
      <c r="A93" s="2" t="s">
        <v>38</v>
      </c>
      <c r="B93" s="6">
        <f>'F&amp;G'!H6</f>
        <v>-13093.21</v>
      </c>
      <c r="C93" s="6">
        <f>'F&amp;G'!I6</f>
        <v>-13550</v>
      </c>
    </row>
    <row r="94" spans="1:4" x14ac:dyDescent="0.25">
      <c r="A94" s="2" t="s">
        <v>3</v>
      </c>
      <c r="B94" s="6">
        <f>'F&amp;G'!H8</f>
        <v>0</v>
      </c>
      <c r="C94" s="6">
        <f>'F&amp;G'!I8</f>
        <v>0</v>
      </c>
    </row>
    <row r="95" spans="1:4" x14ac:dyDescent="0.25">
      <c r="A95" s="1" t="s">
        <v>120</v>
      </c>
      <c r="B95" s="7">
        <f>SUM(B93:B94)</f>
        <v>-13093.21</v>
      </c>
      <c r="C95" s="7">
        <f>SUM(C93:C94)</f>
        <v>-13550</v>
      </c>
    </row>
    <row r="96" spans="1:4" x14ac:dyDescent="0.25">
      <c r="A96" s="36" t="s">
        <v>202</v>
      </c>
      <c r="B96" s="37">
        <f>B95</f>
        <v>-13093.21</v>
      </c>
      <c r="C96" s="37">
        <f>C95</f>
        <v>-13550</v>
      </c>
    </row>
    <row r="98" spans="1:3" ht="45" x14ac:dyDescent="0.25">
      <c r="A98" s="1" t="s">
        <v>21</v>
      </c>
      <c r="B98" s="25" t="s">
        <v>122</v>
      </c>
      <c r="C98" s="25" t="s">
        <v>124</v>
      </c>
    </row>
    <row r="99" spans="1:3" x14ac:dyDescent="0.25">
      <c r="A99" s="2" t="s">
        <v>38</v>
      </c>
      <c r="B99" s="6">
        <f>'F&amp;G'!H16</f>
        <v>-210.75999999999996</v>
      </c>
      <c r="C99" s="6">
        <f>'F&amp;G'!I16</f>
        <v>-2000</v>
      </c>
    </row>
    <row r="100" spans="1:3" x14ac:dyDescent="0.25">
      <c r="A100" s="2" t="s">
        <v>3</v>
      </c>
      <c r="B100" s="6">
        <f>'F&amp;G'!H19</f>
        <v>1055.3800000000001</v>
      </c>
      <c r="C100" s="6">
        <f>'F&amp;G'!I19</f>
        <v>1060</v>
      </c>
    </row>
    <row r="101" spans="1:3" x14ac:dyDescent="0.25">
      <c r="A101" s="1" t="s">
        <v>120</v>
      </c>
      <c r="B101" s="7">
        <f>SUM(B99:B100)</f>
        <v>844.62000000000012</v>
      </c>
      <c r="C101" s="7">
        <f>SUM(C99:C100)</f>
        <v>-940</v>
      </c>
    </row>
    <row r="102" spans="1:3" x14ac:dyDescent="0.25">
      <c r="A102" s="36" t="s">
        <v>202</v>
      </c>
      <c r="B102" s="37">
        <f>B101</f>
        <v>844.62000000000012</v>
      </c>
      <c r="C102" s="37">
        <f>C101</f>
        <v>-940</v>
      </c>
    </row>
    <row r="104" spans="1:3" ht="45" x14ac:dyDescent="0.25">
      <c r="A104" s="1" t="s">
        <v>90</v>
      </c>
      <c r="B104" s="25" t="s">
        <v>122</v>
      </c>
      <c r="C104" s="25" t="s">
        <v>124</v>
      </c>
    </row>
    <row r="105" spans="1:3" x14ac:dyDescent="0.25">
      <c r="A105" s="2" t="s">
        <v>38</v>
      </c>
      <c r="B105" s="6">
        <f>'F&amp;G'!H30</f>
        <v>-32684.400000000001</v>
      </c>
      <c r="C105" s="6">
        <f>'F&amp;G'!I30</f>
        <v>-60000</v>
      </c>
    </row>
    <row r="106" spans="1:3" x14ac:dyDescent="0.25">
      <c r="A106" s="2" t="s">
        <v>3</v>
      </c>
      <c r="B106" s="6">
        <v>0</v>
      </c>
      <c r="C106" s="6">
        <v>0</v>
      </c>
    </row>
    <row r="107" spans="1:3" x14ac:dyDescent="0.25">
      <c r="A107" s="1" t="s">
        <v>120</v>
      </c>
      <c r="B107" s="7">
        <f>SUM(B105:B106)</f>
        <v>-32684.400000000001</v>
      </c>
      <c r="C107" s="7">
        <f>SUM(C105:C106)</f>
        <v>-60000</v>
      </c>
    </row>
    <row r="108" spans="1:3" x14ac:dyDescent="0.25">
      <c r="A108" s="36" t="s">
        <v>202</v>
      </c>
      <c r="B108" s="37">
        <f>B107</f>
        <v>-32684.400000000001</v>
      </c>
      <c r="C108" s="37">
        <f>C107</f>
        <v>-60000</v>
      </c>
    </row>
    <row r="111" spans="1:3" ht="45" x14ac:dyDescent="0.25">
      <c r="A111" s="3" t="s">
        <v>98</v>
      </c>
      <c r="B111" s="25" t="s">
        <v>122</v>
      </c>
      <c r="C111" s="25" t="s">
        <v>124</v>
      </c>
    </row>
    <row r="112" spans="1:3" x14ac:dyDescent="0.25">
      <c r="A112" s="2" t="s">
        <v>38</v>
      </c>
      <c r="B112" s="6">
        <f>'F&amp;G'!H35</f>
        <v>-415.41</v>
      </c>
      <c r="C112" s="6">
        <f>'F&amp;G'!I35</f>
        <v>-500</v>
      </c>
    </row>
    <row r="113" spans="1:4" x14ac:dyDescent="0.25">
      <c r="A113" s="2" t="s">
        <v>3</v>
      </c>
      <c r="B113" s="6">
        <f>'F&amp;G'!H37</f>
        <v>17985.7</v>
      </c>
      <c r="C113" s="6">
        <f>'F&amp;G'!I37</f>
        <v>5000</v>
      </c>
    </row>
    <row r="114" spans="1:4" x14ac:dyDescent="0.25">
      <c r="A114" s="1" t="s">
        <v>120</v>
      </c>
      <c r="B114" s="7">
        <f>SUM(B112:B113)</f>
        <v>17570.29</v>
      </c>
      <c r="C114" s="7">
        <f>SUM(C112:C113)</f>
        <v>4500</v>
      </c>
    </row>
    <row r="115" spans="1:4" x14ac:dyDescent="0.25">
      <c r="A115" s="2" t="s">
        <v>236</v>
      </c>
      <c r="B115" s="6">
        <f>'F&amp;G'!H49</f>
        <v>5389.45</v>
      </c>
      <c r="C115" s="6">
        <f>'F&amp;G'!I49</f>
        <v>36983.89</v>
      </c>
    </row>
    <row r="116" spans="1:4" x14ac:dyDescent="0.25">
      <c r="A116" s="2" t="s">
        <v>235</v>
      </c>
      <c r="B116" s="6">
        <f>'F&amp;G'!H53</f>
        <v>6876.96</v>
      </c>
      <c r="C116" s="6">
        <f>'F&amp;G'!I53</f>
        <v>3123.04</v>
      </c>
    </row>
    <row r="117" spans="1:4" x14ac:dyDescent="0.25">
      <c r="A117" s="36" t="s">
        <v>202</v>
      </c>
      <c r="B117" s="37">
        <f>B114+B116+B115</f>
        <v>29836.7</v>
      </c>
      <c r="C117" s="37">
        <f>C114+C116+C115</f>
        <v>44606.93</v>
      </c>
    </row>
    <row r="118" spans="1:4" x14ac:dyDescent="0.25">
      <c r="A118" s="1"/>
    </row>
    <row r="119" spans="1:4" x14ac:dyDescent="0.25">
      <c r="A119" s="3" t="s">
        <v>450</v>
      </c>
    </row>
    <row r="120" spans="1:4" x14ac:dyDescent="0.25">
      <c r="A120" s="1" t="s">
        <v>38</v>
      </c>
      <c r="B120" s="6">
        <f>B93+B99+B105+B112</f>
        <v>-46403.780000000006</v>
      </c>
      <c r="C120" s="6">
        <f>C93+C99+C105+C112</f>
        <v>-76050</v>
      </c>
    </row>
    <row r="121" spans="1:4" x14ac:dyDescent="0.25">
      <c r="A121" s="1" t="s">
        <v>3</v>
      </c>
      <c r="B121" s="6">
        <f>B94+B100+B106+B113</f>
        <v>19041.080000000002</v>
      </c>
      <c r="C121" s="6">
        <f>C94+C100+C106+C113</f>
        <v>6060</v>
      </c>
    </row>
    <row r="122" spans="1:4" x14ac:dyDescent="0.25">
      <c r="A122" s="1" t="s">
        <v>236</v>
      </c>
      <c r="B122" s="6">
        <f>B115</f>
        <v>5389.45</v>
      </c>
      <c r="C122" s="6">
        <f>C115</f>
        <v>36983.89</v>
      </c>
    </row>
    <row r="123" spans="1:4" x14ac:dyDescent="0.25">
      <c r="A123" s="1" t="s">
        <v>235</v>
      </c>
      <c r="B123" s="6">
        <f>B116</f>
        <v>6876.96</v>
      </c>
      <c r="C123" s="6">
        <f>C116</f>
        <v>3123.04</v>
      </c>
    </row>
    <row r="124" spans="1:4" x14ac:dyDescent="0.25">
      <c r="A124" s="1"/>
    </row>
    <row r="125" spans="1:4" ht="45" x14ac:dyDescent="0.3">
      <c r="A125" s="42" t="s">
        <v>205</v>
      </c>
      <c r="B125" s="37"/>
      <c r="C125" s="37">
        <f>C120+C121</f>
        <v>-69990</v>
      </c>
      <c r="D125" t="s">
        <v>435</v>
      </c>
    </row>
    <row r="126" spans="1:4" x14ac:dyDescent="0.25">
      <c r="A126" s="1"/>
    </row>
    <row r="127" spans="1:4" ht="24" x14ac:dyDescent="0.4">
      <c r="A127" s="23" t="s">
        <v>24</v>
      </c>
    </row>
    <row r="128" spans="1:4" ht="45" x14ac:dyDescent="0.25">
      <c r="A128" s="3" t="s">
        <v>99</v>
      </c>
      <c r="B128" s="25" t="s">
        <v>122</v>
      </c>
      <c r="C128" s="25" t="s">
        <v>124</v>
      </c>
    </row>
    <row r="129" spans="1:3" x14ac:dyDescent="0.25">
      <c r="A129" s="2" t="s">
        <v>38</v>
      </c>
      <c r="B129" s="6">
        <f>Admin!K10</f>
        <v>-363469.62</v>
      </c>
      <c r="C129" s="6">
        <f>Admin!L10</f>
        <v>-432000</v>
      </c>
    </row>
    <row r="130" spans="1:3" x14ac:dyDescent="0.25">
      <c r="A130" s="2" t="s">
        <v>3</v>
      </c>
      <c r="B130" s="6">
        <v>0</v>
      </c>
      <c r="C130" s="6">
        <v>0</v>
      </c>
    </row>
    <row r="131" spans="1:3" x14ac:dyDescent="0.25">
      <c r="A131" s="1" t="s">
        <v>120</v>
      </c>
      <c r="B131" s="7">
        <f>SUM(B129:B130)</f>
        <v>-363469.62</v>
      </c>
      <c r="C131" s="7">
        <f>SUM(C129:C130)</f>
        <v>-432000</v>
      </c>
    </row>
    <row r="132" spans="1:3" x14ac:dyDescent="0.25">
      <c r="A132" s="36" t="s">
        <v>202</v>
      </c>
      <c r="B132" s="38"/>
      <c r="C132" s="37">
        <f>C131</f>
        <v>-432000</v>
      </c>
    </row>
    <row r="133" spans="1:3" x14ac:dyDescent="0.25">
      <c r="A133" s="1"/>
    </row>
    <row r="134" spans="1:3" ht="45" x14ac:dyDescent="0.25">
      <c r="A134" s="9" t="s">
        <v>100</v>
      </c>
      <c r="B134" s="25" t="s">
        <v>122</v>
      </c>
      <c r="C134" s="25" t="s">
        <v>124</v>
      </c>
    </row>
    <row r="135" spans="1:3" x14ac:dyDescent="0.25">
      <c r="A135" s="2" t="s">
        <v>38</v>
      </c>
      <c r="B135" s="6">
        <f>Admin!K24</f>
        <v>-15202.02</v>
      </c>
      <c r="C135" s="6">
        <f>Admin!L24</f>
        <v>-20800</v>
      </c>
    </row>
    <row r="136" spans="1:3" x14ac:dyDescent="0.25">
      <c r="A136" s="2" t="s">
        <v>3</v>
      </c>
      <c r="B136" s="6">
        <v>0</v>
      </c>
      <c r="C136" s="6">
        <v>0</v>
      </c>
    </row>
    <row r="137" spans="1:3" x14ac:dyDescent="0.25">
      <c r="A137" s="1" t="s">
        <v>120</v>
      </c>
      <c r="B137" s="7">
        <f>SUM(B135:B136)</f>
        <v>-15202.02</v>
      </c>
      <c r="C137" s="7">
        <f>SUM(C135:C136)</f>
        <v>-20800</v>
      </c>
    </row>
    <row r="138" spans="1:3" x14ac:dyDescent="0.25">
      <c r="A138" s="2" t="s">
        <v>235</v>
      </c>
      <c r="B138" s="6">
        <f>Admin!K35</f>
        <v>15746.91</v>
      </c>
      <c r="C138" s="6">
        <f>Admin!L35</f>
        <v>506.18000000000029</v>
      </c>
    </row>
    <row r="139" spans="1:3" x14ac:dyDescent="0.25">
      <c r="A139" s="36" t="s">
        <v>202</v>
      </c>
      <c r="B139" s="37">
        <f>B137+B138</f>
        <v>544.88999999999942</v>
      </c>
      <c r="C139" s="37">
        <f>C137+C138</f>
        <v>-20293.82</v>
      </c>
    </row>
    <row r="140" spans="1:3" x14ac:dyDescent="0.25">
      <c r="A140" s="1"/>
    </row>
    <row r="141" spans="1:3" x14ac:dyDescent="0.25">
      <c r="A141" s="1"/>
    </row>
    <row r="142" spans="1:3" x14ac:dyDescent="0.25">
      <c r="A142" s="1" t="s">
        <v>38</v>
      </c>
      <c r="B142" s="6">
        <f>Admin!K27</f>
        <v>-378671.64</v>
      </c>
      <c r="C142" s="6">
        <f>Admin!L27</f>
        <v>-452800</v>
      </c>
    </row>
    <row r="143" spans="1:3" x14ac:dyDescent="0.25">
      <c r="A143" s="1" t="s">
        <v>3</v>
      </c>
      <c r="B143" s="6">
        <f>Admin!K28</f>
        <v>0</v>
      </c>
      <c r="C143" s="6">
        <f>Admin!L28</f>
        <v>0</v>
      </c>
    </row>
    <row r="144" spans="1:3" x14ac:dyDescent="0.25">
      <c r="A144" s="2" t="s">
        <v>235</v>
      </c>
      <c r="B144" s="6">
        <f>B138</f>
        <v>15746.91</v>
      </c>
      <c r="C144" s="6">
        <f>C138</f>
        <v>506.18000000000029</v>
      </c>
    </row>
    <row r="145" spans="1:9" ht="22.5" x14ac:dyDescent="0.3">
      <c r="A145" s="41" t="s">
        <v>206</v>
      </c>
      <c r="B145" s="38"/>
      <c r="C145" s="37">
        <f>C142+C143</f>
        <v>-452800</v>
      </c>
      <c r="D145" t="s">
        <v>435</v>
      </c>
    </row>
    <row r="146" spans="1:9" x14ac:dyDescent="0.25">
      <c r="A146" s="1"/>
    </row>
    <row r="147" spans="1:9" ht="45.75" x14ac:dyDescent="0.3">
      <c r="A147" s="4" t="s">
        <v>129</v>
      </c>
      <c r="B147" s="25" t="s">
        <v>122</v>
      </c>
      <c r="C147" s="25" t="s">
        <v>124</v>
      </c>
    </row>
    <row r="148" spans="1:9" x14ac:dyDescent="0.25">
      <c r="A148" s="2" t="s">
        <v>38</v>
      </c>
      <c r="B148" s="6">
        <f>'C&amp;C'!K20</f>
        <v>-48851.05</v>
      </c>
      <c r="C148" s="6">
        <f>'C&amp;C'!L20</f>
        <v>-64650</v>
      </c>
    </row>
    <row r="149" spans="1:9" x14ac:dyDescent="0.25">
      <c r="A149" s="2" t="s">
        <v>3</v>
      </c>
      <c r="B149" s="6">
        <f>'C&amp;C'!K21</f>
        <v>10826</v>
      </c>
      <c r="C149" s="6">
        <f>'C&amp;C'!L21</f>
        <v>16000</v>
      </c>
    </row>
    <row r="150" spans="1:9" x14ac:dyDescent="0.25">
      <c r="A150" s="1" t="s">
        <v>120</v>
      </c>
      <c r="B150" s="7">
        <f>SUM(B148:B149)</f>
        <v>-38025.050000000003</v>
      </c>
      <c r="C150" s="7">
        <f>SUM(C148:C149)</f>
        <v>-48650</v>
      </c>
    </row>
    <row r="151" spans="1:9" x14ac:dyDescent="0.25">
      <c r="A151" s="2" t="s">
        <v>236</v>
      </c>
      <c r="B151" s="6">
        <f>'C&amp;C'!K39</f>
        <v>7343.93</v>
      </c>
      <c r="C151" s="6">
        <f>'C&amp;C'!L39</f>
        <v>727.66000000000008</v>
      </c>
    </row>
    <row r="152" spans="1:9" x14ac:dyDescent="0.25">
      <c r="A152" s="36" t="s">
        <v>202</v>
      </c>
      <c r="B152" s="37">
        <f>B150+B151</f>
        <v>-30681.120000000003</v>
      </c>
      <c r="C152" s="37">
        <f>C150+C151</f>
        <v>-47922.34</v>
      </c>
    </row>
    <row r="154" spans="1:9" ht="45" x14ac:dyDescent="0.3">
      <c r="A154" s="42" t="s">
        <v>207</v>
      </c>
      <c r="B154" s="37">
        <f>B148+B149</f>
        <v>-38025.050000000003</v>
      </c>
      <c r="C154" s="37">
        <f>C148+C149</f>
        <v>-48650</v>
      </c>
      <c r="D154" t="s">
        <v>435</v>
      </c>
    </row>
    <row r="157" spans="1:9" ht="62.25" x14ac:dyDescent="0.4">
      <c r="A157" s="5" t="s">
        <v>172</v>
      </c>
      <c r="B157" s="25" t="s">
        <v>463</v>
      </c>
      <c r="C157" s="25" t="s">
        <v>124</v>
      </c>
      <c r="E157" s="44" t="s">
        <v>224</v>
      </c>
      <c r="F157" s="44" t="s">
        <v>414</v>
      </c>
      <c r="G157" s="44" t="s">
        <v>415</v>
      </c>
      <c r="H157" s="44" t="s">
        <v>416</v>
      </c>
    </row>
    <row r="158" spans="1:9" x14ac:dyDescent="0.25">
      <c r="A158" s="2" t="s">
        <v>259</v>
      </c>
      <c r="B158" s="6">
        <v>211714</v>
      </c>
      <c r="C158" s="6">
        <v>211714</v>
      </c>
      <c r="E158" s="6">
        <f>E162+C158</f>
        <v>-37484.02999999997</v>
      </c>
      <c r="F158" s="6">
        <f>F162+C158</f>
        <v>-120550.03999999998</v>
      </c>
      <c r="G158" s="6">
        <f>G162+C158</f>
        <v>-203616.05</v>
      </c>
      <c r="H158" s="6">
        <f>H162+C158</f>
        <v>-286682.05999999994</v>
      </c>
      <c r="I158" s="6"/>
    </row>
    <row r="159" spans="1:9" x14ac:dyDescent="0.25">
      <c r="A159" s="36" t="s">
        <v>202</v>
      </c>
      <c r="B159" s="39">
        <f>B158</f>
        <v>211714</v>
      </c>
      <c r="C159" s="39">
        <f>C158</f>
        <v>211714</v>
      </c>
    </row>
    <row r="161" spans="1:8" ht="30" x14ac:dyDescent="0.25">
      <c r="D161" s="44" t="s">
        <v>221</v>
      </c>
      <c r="E161" s="44" t="s">
        <v>217</v>
      </c>
      <c r="F161" s="44" t="s">
        <v>218</v>
      </c>
      <c r="G161" s="44" t="s">
        <v>219</v>
      </c>
      <c r="H161" s="44" t="s">
        <v>220</v>
      </c>
    </row>
    <row r="162" spans="1:8" ht="24" x14ac:dyDescent="0.4">
      <c r="A162" s="23" t="s">
        <v>38</v>
      </c>
      <c r="B162" s="6">
        <f>B148+B142+B120+B82+B74</f>
        <v>-818646.12000000011</v>
      </c>
      <c r="C162" s="6">
        <f>C148+C142+C120+C82+C74</f>
        <v>-996792.12</v>
      </c>
      <c r="D162" s="6">
        <f>C162/12</f>
        <v>-83066.009999999995</v>
      </c>
      <c r="E162" s="6">
        <f>D162*3</f>
        <v>-249198.02999999997</v>
      </c>
      <c r="F162" s="6">
        <f>D162*4</f>
        <v>-332264.03999999998</v>
      </c>
      <c r="G162" s="6">
        <f>D162*5</f>
        <v>-415330.05</v>
      </c>
      <c r="H162" s="6">
        <f>D162*6</f>
        <v>-498396.05999999994</v>
      </c>
    </row>
    <row r="163" spans="1:8" ht="24" x14ac:dyDescent="0.4">
      <c r="A163" s="23" t="s">
        <v>3</v>
      </c>
      <c r="B163" s="6">
        <f>B149+B143+B121+B83+B75</f>
        <v>172483.59999999998</v>
      </c>
      <c r="C163" s="6">
        <f>C149+C143+C121+C83+C75</f>
        <v>181416.15</v>
      </c>
    </row>
    <row r="164" spans="1:8" ht="24" x14ac:dyDescent="0.4">
      <c r="A164" s="23" t="s">
        <v>260</v>
      </c>
      <c r="B164" s="6">
        <f>B77+B86+B123+B144</f>
        <v>133238.09</v>
      </c>
      <c r="C164" s="6">
        <f>C77+C86+C123+C144</f>
        <v>126245.68999999997</v>
      </c>
      <c r="E164" s="6"/>
    </row>
    <row r="165" spans="1:8" ht="24" x14ac:dyDescent="0.4">
      <c r="A165" s="23" t="s">
        <v>458</v>
      </c>
      <c r="B165" s="6">
        <f>B151+B122+B85+B76</f>
        <v>44415.770000000004</v>
      </c>
      <c r="C165" s="6">
        <f>C151+C122+C85+C76</f>
        <v>148717.59000000003</v>
      </c>
    </row>
    <row r="166" spans="1:8" ht="24" x14ac:dyDescent="0.4">
      <c r="A166" s="23" t="s">
        <v>228</v>
      </c>
      <c r="B166" s="6">
        <f>B159</f>
        <v>211714</v>
      </c>
      <c r="C166" s="6">
        <f>C158</f>
        <v>211714</v>
      </c>
    </row>
    <row r="167" spans="1:8" ht="24" x14ac:dyDescent="0.4">
      <c r="A167" s="43" t="s">
        <v>216</v>
      </c>
      <c r="B167" s="37">
        <f>B162+B163</f>
        <v>-646162.52000000014</v>
      </c>
      <c r="C167" s="37">
        <f>C162+C163</f>
        <v>-815375.97</v>
      </c>
      <c r="D167" s="6">
        <f>C167*(1+0.02)</f>
        <v>-831683.48939999996</v>
      </c>
      <c r="E167" s="6">
        <f>C167*(1+0.025)</f>
        <v>-835760.36924999987</v>
      </c>
    </row>
    <row r="168" spans="1:8" x14ac:dyDescent="0.25">
      <c r="D168" t="s">
        <v>222</v>
      </c>
      <c r="E168" t="s">
        <v>223</v>
      </c>
    </row>
    <row r="169" spans="1:8" ht="45" x14ac:dyDescent="0.25">
      <c r="C169" s="25" t="s">
        <v>225</v>
      </c>
    </row>
    <row r="170" spans="1:8" x14ac:dyDescent="0.25">
      <c r="C170" s="6">
        <f>C167+E158</f>
        <v>-852860</v>
      </c>
    </row>
    <row r="171" spans="1:8" ht="15.75" thickBot="1" x14ac:dyDescent="0.3"/>
    <row r="172" spans="1:8" ht="15.75" thickBot="1" x14ac:dyDescent="0.3">
      <c r="A172" s="60" t="s">
        <v>436</v>
      </c>
      <c r="B172" s="59">
        <v>796562</v>
      </c>
    </row>
    <row r="173" spans="1:8" x14ac:dyDescent="0.25">
      <c r="B173" s="6"/>
    </row>
    <row r="175" spans="1:8" x14ac:dyDescent="0.25">
      <c r="A175" s="3" t="s">
        <v>453</v>
      </c>
      <c r="B175" s="6">
        <v>799610</v>
      </c>
      <c r="C175" s="6">
        <v>833152.54</v>
      </c>
      <c r="D175" s="6">
        <v>852860</v>
      </c>
    </row>
    <row r="176" spans="1:8" x14ac:dyDescent="0.25">
      <c r="A176" s="3" t="s">
        <v>454</v>
      </c>
      <c r="B176" s="6" t="s">
        <v>452</v>
      </c>
      <c r="C176" s="6" t="s">
        <v>457</v>
      </c>
      <c r="D176" t="s">
        <v>464</v>
      </c>
    </row>
    <row r="177" spans="1:4" x14ac:dyDescent="0.25">
      <c r="A177" s="3" t="s">
        <v>455</v>
      </c>
      <c r="B177" s="6">
        <v>107.1</v>
      </c>
      <c r="C177" s="6">
        <v>111.6</v>
      </c>
      <c r="D177" s="6">
        <v>114.24</v>
      </c>
    </row>
    <row r="178" spans="1:4" x14ac:dyDescent="0.25">
      <c r="A178" s="3" t="s">
        <v>456</v>
      </c>
      <c r="B178" s="6">
        <v>107.1</v>
      </c>
      <c r="C178" s="6">
        <v>107.1</v>
      </c>
      <c r="D178" s="6">
        <v>107.1</v>
      </c>
    </row>
  </sheetData>
  <sheetProtection algorithmName="SHA-512" hashValue="R6g3wqbh3Kv/qdafASGLhkNDZtC3fpu7ARgnY74LMx8vVP3WjPSMJiFLxZQrVEQGhVqRrnN7vO0/80PlgpnDHw==" saltValue="aA4kfRGpakPPqGHU+4qajw==" spinCount="100000" sheet="1" formatCells="0" formatColumns="0" formatRows="0" insertColumns="0" insertRows="0" insertHyperlinks="0" deleteColumns="0" deleteRows="0" sort="0" autoFilter="0" pivotTables="0"/>
  <phoneticPr fontId="16" type="noConversion"/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B67B2-5BC5-4ADD-9E3C-FED1CABC1499}">
  <sheetPr>
    <pageSetUpPr fitToPage="1"/>
  </sheetPr>
  <dimension ref="A1:K25"/>
  <sheetViews>
    <sheetView workbookViewId="0">
      <selection activeCell="J14" sqref="J14"/>
    </sheetView>
  </sheetViews>
  <sheetFormatPr defaultColWidth="8.7109375" defaultRowHeight="15" x14ac:dyDescent="0.25"/>
  <cols>
    <col min="1" max="1" width="38.140625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  <col min="10" max="10" width="14" customWidth="1"/>
    <col min="11" max="11" width="17.7109375" customWidth="1"/>
  </cols>
  <sheetData>
    <row r="1" spans="1:11" ht="48" x14ac:dyDescent="0.4">
      <c r="A1" s="27" t="s">
        <v>125</v>
      </c>
    </row>
    <row r="2" spans="1:11" ht="33" x14ac:dyDescent="0.35">
      <c r="A2" s="49" t="s">
        <v>12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10" t="s">
        <v>315</v>
      </c>
      <c r="B3" s="10"/>
      <c r="C3" s="10"/>
      <c r="D3" s="10" t="s">
        <v>241</v>
      </c>
      <c r="E3" s="6">
        <v>0</v>
      </c>
      <c r="F3" s="6">
        <v>-5000</v>
      </c>
      <c r="G3" s="6">
        <v>-4248</v>
      </c>
      <c r="H3" s="6">
        <v>-4248</v>
      </c>
      <c r="I3" s="6">
        <v>-5000</v>
      </c>
      <c r="J3" t="s">
        <v>316</v>
      </c>
    </row>
    <row r="4" spans="1:11" ht="15.75" x14ac:dyDescent="0.25">
      <c r="A4" s="10"/>
      <c r="B4" s="9" t="s">
        <v>38</v>
      </c>
      <c r="C4" s="10"/>
      <c r="D4" s="10"/>
      <c r="E4" s="7">
        <f>SUM(E3:E3)</f>
        <v>0</v>
      </c>
      <c r="F4" s="7">
        <f>SUM(F3:F3)</f>
        <v>-5000</v>
      </c>
      <c r="G4" s="7">
        <f>SUM(G3:G3)</f>
        <v>-4248</v>
      </c>
      <c r="H4" s="7">
        <f>SUM(H3:H3)</f>
        <v>-4248</v>
      </c>
      <c r="I4" s="7">
        <f>SUM(I3:I3)</f>
        <v>-5000</v>
      </c>
    </row>
    <row r="5" spans="1:11" ht="15.75" x14ac:dyDescent="0.25">
      <c r="A5" s="14" t="s">
        <v>138</v>
      </c>
      <c r="B5" s="14"/>
      <c r="C5" s="14"/>
      <c r="D5" s="14"/>
      <c r="E5" s="16">
        <f t="shared" ref="E5:H5" si="0">E4</f>
        <v>0</v>
      </c>
      <c r="F5" s="16">
        <f t="shared" si="0"/>
        <v>-5000</v>
      </c>
      <c r="G5" s="16">
        <f t="shared" si="0"/>
        <v>-4248</v>
      </c>
      <c r="H5" s="16">
        <f t="shared" si="0"/>
        <v>-4248</v>
      </c>
      <c r="I5" s="16">
        <f>I4</f>
        <v>-5000</v>
      </c>
    </row>
    <row r="7" spans="1:11" ht="31.5" x14ac:dyDescent="0.25">
      <c r="A7" s="9" t="s">
        <v>65</v>
      </c>
      <c r="B7" s="10"/>
      <c r="C7" s="10"/>
      <c r="D7" s="46" t="s">
        <v>240</v>
      </c>
      <c r="E7" s="24" t="s">
        <v>121</v>
      </c>
      <c r="F7" s="24" t="s">
        <v>123</v>
      </c>
      <c r="G7" s="24" t="s">
        <v>156</v>
      </c>
      <c r="H7" s="24" t="s">
        <v>122</v>
      </c>
      <c r="I7" s="24" t="s">
        <v>124</v>
      </c>
      <c r="J7" s="24" t="s">
        <v>422</v>
      </c>
      <c r="K7" s="24" t="s">
        <v>421</v>
      </c>
    </row>
    <row r="8" spans="1:11" ht="15.75" x14ac:dyDescent="0.25">
      <c r="A8" s="10" t="s">
        <v>66</v>
      </c>
      <c r="B8" s="10"/>
      <c r="C8" s="10"/>
      <c r="D8" s="10" t="s">
        <v>238</v>
      </c>
      <c r="E8" s="6">
        <v>0</v>
      </c>
      <c r="F8" s="6">
        <v>3900</v>
      </c>
      <c r="G8" s="6">
        <v>2460.9</v>
      </c>
      <c r="H8" s="6">
        <v>6360.9</v>
      </c>
      <c r="I8" s="6">
        <v>3900</v>
      </c>
      <c r="J8" t="s">
        <v>317</v>
      </c>
    </row>
    <row r="9" spans="1:11" ht="15.75" x14ac:dyDescent="0.25">
      <c r="A9" s="10" t="s">
        <v>67</v>
      </c>
      <c r="B9" s="10"/>
      <c r="C9" s="10"/>
      <c r="D9" s="10" t="s">
        <v>238</v>
      </c>
      <c r="E9" s="6">
        <v>0</v>
      </c>
      <c r="F9" s="6">
        <v>7950</v>
      </c>
      <c r="G9" s="6">
        <v>0</v>
      </c>
      <c r="H9" s="6">
        <v>7950</v>
      </c>
      <c r="I9" s="6">
        <v>7950</v>
      </c>
      <c r="J9" t="s">
        <v>318</v>
      </c>
    </row>
    <row r="10" spans="1:11" ht="15.75" x14ac:dyDescent="0.25">
      <c r="A10" s="10"/>
      <c r="B10" s="9" t="s">
        <v>3</v>
      </c>
      <c r="C10" s="10"/>
      <c r="D10" s="10"/>
      <c r="E10" s="7">
        <f>SUM(E8:E9)</f>
        <v>0</v>
      </c>
      <c r="F10" s="7">
        <f t="shared" ref="F10:I10" si="1">SUM(F8:F9)</f>
        <v>11850</v>
      </c>
      <c r="G10" s="7">
        <f t="shared" si="1"/>
        <v>2460.9</v>
      </c>
      <c r="H10" s="7">
        <f t="shared" si="1"/>
        <v>14310.9</v>
      </c>
      <c r="I10" s="7">
        <f t="shared" si="1"/>
        <v>11850</v>
      </c>
    </row>
    <row r="11" spans="1:11" ht="15.75" x14ac:dyDescent="0.25">
      <c r="A11" s="14" t="s">
        <v>146</v>
      </c>
      <c r="B11" s="17"/>
      <c r="C11" s="14"/>
      <c r="D11" s="14"/>
      <c r="E11" s="16">
        <f>E10</f>
        <v>0</v>
      </c>
      <c r="F11" s="16">
        <f t="shared" ref="F11:I11" si="2">F10</f>
        <v>11850</v>
      </c>
      <c r="G11" s="16">
        <f t="shared" si="2"/>
        <v>2460.9</v>
      </c>
      <c r="H11" s="16">
        <f t="shared" si="2"/>
        <v>14310.9</v>
      </c>
      <c r="I11" s="16">
        <f t="shared" si="2"/>
        <v>11850</v>
      </c>
    </row>
    <row r="13" spans="1:11" x14ac:dyDescent="0.25">
      <c r="A13" s="7" t="s">
        <v>38</v>
      </c>
      <c r="E13" s="6">
        <f>E4</f>
        <v>0</v>
      </c>
      <c r="F13" s="6">
        <f t="shared" ref="F13:I13" si="3">F4</f>
        <v>-5000</v>
      </c>
      <c r="G13" s="6">
        <f t="shared" si="3"/>
        <v>-4248</v>
      </c>
      <c r="H13" s="6">
        <f t="shared" si="3"/>
        <v>-4248</v>
      </c>
      <c r="I13" s="6">
        <f t="shared" si="3"/>
        <v>-5000</v>
      </c>
    </row>
    <row r="14" spans="1:11" x14ac:dyDescent="0.25">
      <c r="A14" s="7" t="s">
        <v>3</v>
      </c>
      <c r="E14" s="6">
        <f>E10</f>
        <v>0</v>
      </c>
      <c r="F14" s="6">
        <f t="shared" ref="F14:I14" si="4">F10</f>
        <v>11850</v>
      </c>
      <c r="G14" s="6">
        <f t="shared" si="4"/>
        <v>2460.9</v>
      </c>
      <c r="H14" s="6">
        <f t="shared" si="4"/>
        <v>14310.9</v>
      </c>
      <c r="I14" s="6">
        <f t="shared" si="4"/>
        <v>11850</v>
      </c>
    </row>
    <row r="15" spans="1:11" ht="15.75" x14ac:dyDescent="0.25">
      <c r="A15" s="14" t="s">
        <v>138</v>
      </c>
      <c r="B15" s="14"/>
      <c r="C15" s="14"/>
      <c r="D15" s="14"/>
      <c r="E15" s="16">
        <f>E13+E14</f>
        <v>0</v>
      </c>
      <c r="F15" s="16">
        <f t="shared" ref="F15:I15" si="5">F13+F14</f>
        <v>6850</v>
      </c>
      <c r="G15" s="16">
        <f t="shared" si="5"/>
        <v>-1787.1</v>
      </c>
      <c r="H15" s="16">
        <f t="shared" si="5"/>
        <v>10062.9</v>
      </c>
      <c r="I15" s="16">
        <f t="shared" si="5"/>
        <v>6850</v>
      </c>
    </row>
    <row r="17" spans="1:11" ht="28.5" x14ac:dyDescent="0.45">
      <c r="A17" s="31" t="s">
        <v>236</v>
      </c>
      <c r="B17" s="4" t="s">
        <v>244</v>
      </c>
    </row>
    <row r="18" spans="1:11" ht="63.75" x14ac:dyDescent="0.3">
      <c r="A18" s="32" t="s">
        <v>125</v>
      </c>
      <c r="B18" s="10"/>
      <c r="C18" s="10"/>
      <c r="D18" s="46" t="s">
        <v>240</v>
      </c>
      <c r="E18" s="24" t="s">
        <v>121</v>
      </c>
      <c r="F18" s="24" t="s">
        <v>123</v>
      </c>
      <c r="G18" s="24" t="s">
        <v>156</v>
      </c>
      <c r="H18" s="24" t="s">
        <v>122</v>
      </c>
      <c r="I18" s="24" t="s">
        <v>215</v>
      </c>
      <c r="J18" s="24" t="s">
        <v>422</v>
      </c>
      <c r="K18" s="24" t="s">
        <v>421</v>
      </c>
    </row>
    <row r="19" spans="1:11" ht="15.75" x14ac:dyDescent="0.25">
      <c r="A19" s="33" t="s">
        <v>188</v>
      </c>
      <c r="D19" t="s">
        <v>238</v>
      </c>
      <c r="F19" s="19">
        <v>3230</v>
      </c>
      <c r="G19" s="20">
        <v>0</v>
      </c>
      <c r="H19" s="8">
        <f>F19</f>
        <v>3230</v>
      </c>
      <c r="I19" s="8">
        <f>F19-H19</f>
        <v>0</v>
      </c>
      <c r="J19" t="s">
        <v>297</v>
      </c>
    </row>
    <row r="20" spans="1:11" ht="15.75" x14ac:dyDescent="0.25">
      <c r="A20" s="14"/>
      <c r="B20" s="14"/>
      <c r="C20" s="14"/>
      <c r="D20" s="14"/>
      <c r="E20" s="16">
        <f t="shared" ref="E20:H20" si="6">SUM(E19)</f>
        <v>0</v>
      </c>
      <c r="F20" s="16">
        <f t="shared" si="6"/>
        <v>3230</v>
      </c>
      <c r="G20" s="16">
        <f t="shared" si="6"/>
        <v>0</v>
      </c>
      <c r="H20" s="16">
        <f t="shared" si="6"/>
        <v>3230</v>
      </c>
      <c r="I20" s="16">
        <f>SUM(I19)</f>
        <v>0</v>
      </c>
    </row>
    <row r="23" spans="1:11" x14ac:dyDescent="0.25">
      <c r="G23"/>
      <c r="H23"/>
      <c r="I23"/>
    </row>
    <row r="25" spans="1:11" ht="24" x14ac:dyDescent="0.4">
      <c r="A25" s="5"/>
      <c r="B25" s="21"/>
      <c r="C25" s="21"/>
      <c r="D25" s="21"/>
      <c r="E25" s="8"/>
      <c r="F25" s="8"/>
    </row>
  </sheetData>
  <sheetProtection algorithmName="SHA-512" hashValue="8uwWSHKTNUN7pk03wH/oRMYjuqlERczQgzDbnaFH58L1MsyedLkqo1a5GHizRFKqUdbh1bLqvaX8A56H6PVsLQ==" saltValue="QbACmNh2HEMygNYIr7+Q9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7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A6122-D960-4F11-BBD7-17812C99CA1F}">
  <sheetPr>
    <pageSetUpPr fitToPage="1"/>
  </sheetPr>
  <dimension ref="A1:N22"/>
  <sheetViews>
    <sheetView workbookViewId="0">
      <selection activeCell="K5" sqref="K5"/>
    </sheetView>
  </sheetViews>
  <sheetFormatPr defaultColWidth="8.7109375" defaultRowHeight="15" x14ac:dyDescent="0.25"/>
  <cols>
    <col min="1" max="1" width="43.42578125" customWidth="1"/>
    <col min="5" max="7" width="0" hidden="1" customWidth="1"/>
    <col min="8" max="8" width="15.42578125" style="6" customWidth="1"/>
    <col min="9" max="9" width="15.7109375" style="6" customWidth="1"/>
    <col min="10" max="10" width="15" style="6" customWidth="1"/>
    <col min="11" max="11" width="15.7109375" style="6" customWidth="1"/>
    <col min="12" max="12" width="16.28515625" style="6" customWidth="1"/>
    <col min="13" max="13" width="14.7109375" customWidth="1"/>
  </cols>
  <sheetData>
    <row r="1" spans="1:14" ht="48" x14ac:dyDescent="0.4">
      <c r="A1" s="27" t="s">
        <v>125</v>
      </c>
    </row>
    <row r="2" spans="1:14" ht="48.75" x14ac:dyDescent="0.35">
      <c r="A2" s="49" t="s">
        <v>46</v>
      </c>
      <c r="B2" s="10"/>
      <c r="C2" s="10"/>
      <c r="D2" s="46" t="s">
        <v>240</v>
      </c>
      <c r="E2" s="10"/>
      <c r="F2" s="10"/>
      <c r="G2" s="8"/>
      <c r="H2" s="24" t="s">
        <v>121</v>
      </c>
      <c r="I2" s="24" t="s">
        <v>123</v>
      </c>
      <c r="J2" s="24" t="s">
        <v>156</v>
      </c>
      <c r="K2" s="24" t="s">
        <v>122</v>
      </c>
      <c r="L2" s="24" t="s">
        <v>124</v>
      </c>
      <c r="M2" s="24" t="s">
        <v>422</v>
      </c>
      <c r="N2" s="24" t="s">
        <v>421</v>
      </c>
    </row>
    <row r="3" spans="1:14" ht="15.75" x14ac:dyDescent="0.25">
      <c r="A3" s="10" t="s">
        <v>47</v>
      </c>
      <c r="B3" s="10"/>
      <c r="C3" s="10"/>
      <c r="D3" s="10" t="s">
        <v>242</v>
      </c>
      <c r="E3" s="10"/>
      <c r="F3" s="10"/>
      <c r="G3" s="8"/>
      <c r="H3" s="6">
        <v>-100474.47</v>
      </c>
      <c r="I3" s="6">
        <v>-106026</v>
      </c>
      <c r="J3" s="6">
        <v>-52208.85</v>
      </c>
      <c r="K3" s="6">
        <v>-104630.79</v>
      </c>
      <c r="L3" s="6">
        <v>-116628.6</v>
      </c>
      <c r="M3" t="s">
        <v>324</v>
      </c>
    </row>
    <row r="4" spans="1:14" ht="15.75" x14ac:dyDescent="0.25">
      <c r="A4" s="10" t="s">
        <v>326</v>
      </c>
      <c r="B4" s="10"/>
      <c r="C4" s="10"/>
      <c r="D4" s="10" t="s">
        <v>242</v>
      </c>
      <c r="E4" s="10"/>
      <c r="F4" s="10"/>
      <c r="G4" s="8"/>
      <c r="H4" s="6">
        <v>0</v>
      </c>
      <c r="I4" s="6">
        <v>-13131</v>
      </c>
      <c r="J4" s="6">
        <v>0</v>
      </c>
      <c r="K4" s="6">
        <v>-13131</v>
      </c>
      <c r="L4" s="6">
        <v>-14444.1</v>
      </c>
      <c r="M4" t="s">
        <v>323</v>
      </c>
    </row>
    <row r="5" spans="1:14" ht="15.75" x14ac:dyDescent="0.25">
      <c r="A5" s="10" t="s">
        <v>49</v>
      </c>
      <c r="B5" s="10"/>
      <c r="C5" s="10"/>
      <c r="D5" s="10" t="s">
        <v>242</v>
      </c>
      <c r="E5" s="10"/>
      <c r="F5" s="10"/>
      <c r="G5" s="8"/>
      <c r="H5" s="6">
        <v>0</v>
      </c>
      <c r="I5" s="6">
        <v>-68000</v>
      </c>
      <c r="J5" s="6">
        <v>-30520.799999999999</v>
      </c>
      <c r="K5" s="6">
        <v>-77645.759999999995</v>
      </c>
      <c r="L5" s="6">
        <v>-67145.759999999995</v>
      </c>
      <c r="M5" t="s">
        <v>325</v>
      </c>
    </row>
    <row r="6" spans="1:14" ht="15.75" x14ac:dyDescent="0.25">
      <c r="A6" s="10" t="s">
        <v>48</v>
      </c>
      <c r="B6" s="10"/>
      <c r="C6" s="10"/>
      <c r="D6" s="10" t="s">
        <v>246</v>
      </c>
      <c r="E6" s="10"/>
      <c r="F6" s="10"/>
      <c r="G6" s="8"/>
      <c r="H6" s="6">
        <v>-16929</v>
      </c>
      <c r="I6" s="6">
        <v>-21000</v>
      </c>
      <c r="J6" s="6">
        <v>-23000</v>
      </c>
      <c r="K6" s="6">
        <v>-27000</v>
      </c>
      <c r="L6" s="6">
        <v>-30000</v>
      </c>
      <c r="M6" t="s">
        <v>321</v>
      </c>
      <c r="N6" t="s">
        <v>322</v>
      </c>
    </row>
    <row r="7" spans="1:14" ht="15.75" x14ac:dyDescent="0.25">
      <c r="A7" s="10"/>
      <c r="B7" s="9" t="s">
        <v>38</v>
      </c>
      <c r="C7" s="10"/>
      <c r="D7" s="10"/>
      <c r="E7" s="10"/>
      <c r="F7" s="10"/>
      <c r="G7" s="8"/>
      <c r="H7" s="7">
        <f>SUM(H3:H6)</f>
        <v>-117403.47</v>
      </c>
      <c r="I7" s="7">
        <f>SUM(I3:I6)</f>
        <v>-208157</v>
      </c>
      <c r="J7" s="7">
        <f>SUM(J3:J6)</f>
        <v>-105729.65</v>
      </c>
      <c r="K7" s="7">
        <f>SUM(K3:K6)</f>
        <v>-222407.55</v>
      </c>
      <c r="L7" s="7">
        <f>SUM(L3:L6)</f>
        <v>-228218.46000000002</v>
      </c>
      <c r="M7" s="6"/>
    </row>
    <row r="8" spans="1:14" ht="15.75" x14ac:dyDescent="0.25">
      <c r="A8" s="10" t="s">
        <v>320</v>
      </c>
      <c r="B8" s="10"/>
      <c r="C8" s="10"/>
      <c r="D8" s="10" t="s">
        <v>246</v>
      </c>
      <c r="E8" s="10"/>
      <c r="F8" s="10"/>
      <c r="G8" s="8"/>
      <c r="H8" s="6">
        <v>6654.08</v>
      </c>
      <c r="I8" s="6">
        <v>6850</v>
      </c>
      <c r="J8" s="6">
        <v>0</v>
      </c>
      <c r="K8" s="6">
        <v>15241.2</v>
      </c>
      <c r="L8" s="6">
        <v>14500</v>
      </c>
      <c r="M8" t="s">
        <v>319</v>
      </c>
    </row>
    <row r="9" spans="1:14" ht="15.75" x14ac:dyDescent="0.25">
      <c r="A9" s="11"/>
      <c r="B9" s="9" t="s">
        <v>3</v>
      </c>
      <c r="C9" s="10"/>
      <c r="D9" s="10"/>
      <c r="E9" s="10"/>
      <c r="F9" s="10"/>
      <c r="G9" s="8"/>
      <c r="H9" s="7">
        <f>SUM(H8:H8)</f>
        <v>6654.08</v>
      </c>
      <c r="I9" s="7">
        <f>SUM(I8:I8)</f>
        <v>6850</v>
      </c>
      <c r="J9" s="7">
        <f>SUM(J8:J8)</f>
        <v>0</v>
      </c>
      <c r="K9" s="7">
        <f>SUM(K8:K8)</f>
        <v>15241.2</v>
      </c>
      <c r="L9" s="7">
        <f>SUM(L8:L8)</f>
        <v>14500</v>
      </c>
    </row>
    <row r="10" spans="1:14" ht="15.75" x14ac:dyDescent="0.25">
      <c r="A10" s="14" t="s">
        <v>139</v>
      </c>
      <c r="B10" s="17"/>
      <c r="C10" s="14"/>
      <c r="D10" s="14"/>
      <c r="E10" s="14"/>
      <c r="F10" s="14"/>
      <c r="G10" s="16"/>
      <c r="H10" s="16">
        <f>H7+H9</f>
        <v>-110749.39</v>
      </c>
      <c r="I10" s="16">
        <f>I7+I9</f>
        <v>-201307</v>
      </c>
      <c r="J10" s="16">
        <f>J7+J9</f>
        <v>-105729.65</v>
      </c>
      <c r="K10" s="16">
        <f>K7+K9</f>
        <v>-207166.34999999998</v>
      </c>
      <c r="L10" s="16">
        <f>L7+L9</f>
        <v>-213718.46000000002</v>
      </c>
    </row>
    <row r="12" spans="1:14" x14ac:dyDescent="0.25">
      <c r="A12" s="7" t="s">
        <v>38</v>
      </c>
      <c r="H12" s="6">
        <f>H7</f>
        <v>-117403.47</v>
      </c>
      <c r="I12" s="6">
        <f>I7</f>
        <v>-208157</v>
      </c>
      <c r="J12" s="6">
        <f>J7</f>
        <v>-105729.65</v>
      </c>
      <c r="K12" s="6">
        <f>K7</f>
        <v>-222407.55</v>
      </c>
      <c r="L12" s="6">
        <f>L7</f>
        <v>-228218.46000000002</v>
      </c>
    </row>
    <row r="13" spans="1:14" x14ac:dyDescent="0.25">
      <c r="A13" s="7" t="s">
        <v>3</v>
      </c>
      <c r="H13" s="6">
        <f>H9</f>
        <v>6654.08</v>
      </c>
      <c r="I13" s="6">
        <f t="shared" ref="I13:L13" si="0">I9</f>
        <v>6850</v>
      </c>
      <c r="J13" s="6">
        <f t="shared" si="0"/>
        <v>0</v>
      </c>
      <c r="K13" s="6">
        <f t="shared" si="0"/>
        <v>15241.2</v>
      </c>
      <c r="L13" s="6">
        <f t="shared" si="0"/>
        <v>14500</v>
      </c>
    </row>
    <row r="14" spans="1:14" ht="15.75" x14ac:dyDescent="0.25">
      <c r="A14" s="14" t="s">
        <v>139</v>
      </c>
      <c r="B14" s="14"/>
      <c r="C14" s="14"/>
      <c r="D14" s="14"/>
      <c r="H14" s="16">
        <f>H12+H13</f>
        <v>-110749.39</v>
      </c>
      <c r="I14" s="16">
        <f t="shared" ref="I14:L14" si="1">I12+I13</f>
        <v>-201307</v>
      </c>
      <c r="J14" s="16">
        <f t="shared" si="1"/>
        <v>-105729.65</v>
      </c>
      <c r="K14" s="16">
        <f t="shared" si="1"/>
        <v>-207166.34999999998</v>
      </c>
      <c r="L14" s="16">
        <f t="shared" si="1"/>
        <v>-213718.46000000002</v>
      </c>
    </row>
    <row r="15" spans="1:14" x14ac:dyDescent="0.25">
      <c r="H15"/>
      <c r="I15"/>
      <c r="J15"/>
      <c r="K15"/>
      <c r="L15"/>
    </row>
    <row r="16" spans="1:14" x14ac:dyDescent="0.25">
      <c r="H16"/>
      <c r="I16"/>
      <c r="J16"/>
      <c r="K16"/>
      <c r="L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</sheetData>
  <sheetProtection algorithmName="SHA-512" hashValue="c7P3/3IPXipWjVBPRN2mpQspYGwTKia+2eMQO2sjUan03IJeQ5PDsB59wIvLpz+xB3VIICkbH4qIgvAweF22aA==" saltValue="4iREUHoENoJLFc/5xzDX8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5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7D819-72EA-411F-A20E-C4A294EFFA9F}">
  <sheetPr>
    <pageSetUpPr fitToPage="1"/>
  </sheetPr>
  <dimension ref="A1:K29"/>
  <sheetViews>
    <sheetView workbookViewId="0">
      <selection activeCell="I21" sqref="I21"/>
    </sheetView>
  </sheetViews>
  <sheetFormatPr defaultColWidth="8.7109375" defaultRowHeight="15" x14ac:dyDescent="0.25"/>
  <cols>
    <col min="1" max="1" width="32.7109375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  <col min="10" max="10" width="19.7109375" customWidth="1"/>
    <col min="11" max="11" width="38.28515625" customWidth="1"/>
  </cols>
  <sheetData>
    <row r="1" spans="1:11" ht="48" x14ac:dyDescent="0.4">
      <c r="A1" s="27" t="s">
        <v>125</v>
      </c>
    </row>
    <row r="2" spans="1:11" ht="33" x14ac:dyDescent="0.35">
      <c r="A2" s="49" t="s">
        <v>128</v>
      </c>
      <c r="B2" s="9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10" t="s">
        <v>88</v>
      </c>
      <c r="B3" s="10"/>
      <c r="C3" s="10"/>
      <c r="D3" t="s">
        <v>247</v>
      </c>
      <c r="E3" s="6">
        <v>-3691.18</v>
      </c>
      <c r="F3" s="6">
        <v>-7000</v>
      </c>
      <c r="G3" s="6">
        <v>-3398.16</v>
      </c>
      <c r="H3" s="6">
        <v>-6839.26</v>
      </c>
      <c r="I3" s="6">
        <v>-7000</v>
      </c>
      <c r="J3" t="s">
        <v>327</v>
      </c>
    </row>
    <row r="4" spans="1:11" ht="15.75" x14ac:dyDescent="0.25">
      <c r="A4" s="10" t="s">
        <v>87</v>
      </c>
      <c r="B4" s="10"/>
      <c r="C4" s="10"/>
      <c r="D4" s="10" t="s">
        <v>238</v>
      </c>
      <c r="E4" s="6">
        <v>-3140.84</v>
      </c>
      <c r="F4" s="6">
        <v>-5600</v>
      </c>
      <c r="G4" s="6">
        <v>-2939.55</v>
      </c>
      <c r="H4" s="6">
        <v>-5566.26</v>
      </c>
      <c r="I4" s="6">
        <v>-6000</v>
      </c>
      <c r="J4" t="s">
        <v>328</v>
      </c>
    </row>
    <row r="5" spans="1:11" ht="15.75" x14ac:dyDescent="0.25">
      <c r="A5" s="10" t="s">
        <v>119</v>
      </c>
      <c r="B5" s="9"/>
      <c r="C5" s="10"/>
      <c r="D5" s="10" t="s">
        <v>241</v>
      </c>
      <c r="E5" s="6">
        <v>-1763.43</v>
      </c>
      <c r="F5" s="6">
        <v>-10000</v>
      </c>
      <c r="G5" s="6">
        <v>0</v>
      </c>
      <c r="H5" s="6">
        <v>-10000</v>
      </c>
      <c r="I5" s="6">
        <v>-6000</v>
      </c>
      <c r="J5" t="s">
        <v>329</v>
      </c>
    </row>
    <row r="6" spans="1:11" ht="15.75" x14ac:dyDescent="0.25">
      <c r="A6" s="10" t="s">
        <v>155</v>
      </c>
      <c r="B6" s="9"/>
      <c r="C6" s="10"/>
      <c r="D6" t="s">
        <v>247</v>
      </c>
      <c r="E6" s="6">
        <v>-460</v>
      </c>
      <c r="F6" s="6">
        <v>-500</v>
      </c>
      <c r="G6" s="6">
        <v>0</v>
      </c>
      <c r="H6" s="6">
        <v>0</v>
      </c>
      <c r="I6" s="6">
        <v>-500</v>
      </c>
      <c r="J6" t="s">
        <v>330</v>
      </c>
    </row>
    <row r="7" spans="1:11" ht="15.75" x14ac:dyDescent="0.25">
      <c r="A7" s="10"/>
      <c r="B7" s="9" t="s">
        <v>38</v>
      </c>
      <c r="C7" s="10"/>
      <c r="D7" s="10"/>
      <c r="E7" s="7">
        <f>SUM(E3:E6)</f>
        <v>-9055.4500000000007</v>
      </c>
      <c r="F7" s="7">
        <f>SUM(F3:F6)</f>
        <v>-23100</v>
      </c>
      <c r="G7" s="7">
        <f>SUM(G3:G6)</f>
        <v>-6337.71</v>
      </c>
      <c r="H7" s="7">
        <f>SUM(H3:H6)</f>
        <v>-22405.52</v>
      </c>
      <c r="I7" s="7">
        <f>SUM(I3:I6)</f>
        <v>-19500</v>
      </c>
    </row>
    <row r="8" spans="1:11" ht="15.75" x14ac:dyDescent="0.25">
      <c r="A8" s="10" t="s">
        <v>18</v>
      </c>
      <c r="B8" s="10"/>
      <c r="C8" s="10"/>
      <c r="D8" s="52" t="s">
        <v>248</v>
      </c>
      <c r="E8" s="6">
        <v>4.5999999999999996</v>
      </c>
      <c r="F8" s="6">
        <v>0</v>
      </c>
      <c r="G8" s="6">
        <v>0</v>
      </c>
      <c r="H8" s="6">
        <v>0</v>
      </c>
      <c r="I8" s="6">
        <v>0</v>
      </c>
      <c r="J8" t="s">
        <v>331</v>
      </c>
    </row>
    <row r="9" spans="1:11" ht="15.75" x14ac:dyDescent="0.25">
      <c r="A9" s="10" t="s">
        <v>332</v>
      </c>
      <c r="B9" s="10"/>
      <c r="C9" s="10"/>
      <c r="D9" s="52" t="s">
        <v>248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t="s">
        <v>270</v>
      </c>
    </row>
    <row r="10" spans="1:11" ht="15.75" x14ac:dyDescent="0.25">
      <c r="A10" s="10"/>
      <c r="B10" s="9" t="s">
        <v>3</v>
      </c>
      <c r="C10" s="10"/>
      <c r="D10" s="10"/>
      <c r="E10" s="7">
        <f>SUM(E8:E9)</f>
        <v>4.5999999999999996</v>
      </c>
      <c r="F10" s="7">
        <f>SUM(F8:F9)</f>
        <v>0</v>
      </c>
      <c r="G10" s="7">
        <f>SUM(G8:G9)</f>
        <v>0</v>
      </c>
      <c r="H10" s="7">
        <f>SUM(H8:H9)</f>
        <v>0</v>
      </c>
      <c r="I10" s="7">
        <f>SUM(I8:I9)</f>
        <v>0</v>
      </c>
    </row>
    <row r="11" spans="1:11" ht="15.75" x14ac:dyDescent="0.25">
      <c r="A11" s="14" t="s">
        <v>140</v>
      </c>
      <c r="B11" s="14"/>
      <c r="C11" s="14"/>
      <c r="D11" s="14"/>
      <c r="E11" s="16">
        <f>E7+E10</f>
        <v>-9050.85</v>
      </c>
      <c r="F11" s="16">
        <f>F7+F10</f>
        <v>-23100</v>
      </c>
      <c r="G11" s="16">
        <f>G7+G10</f>
        <v>-6337.71</v>
      </c>
      <c r="H11" s="16">
        <f>H7+H10</f>
        <v>-22405.52</v>
      </c>
      <c r="I11" s="16">
        <f>I7+I10</f>
        <v>-19500</v>
      </c>
    </row>
    <row r="13" spans="1:11" x14ac:dyDescent="0.25">
      <c r="A13" s="7" t="s">
        <v>38</v>
      </c>
      <c r="E13" s="6">
        <f>E7</f>
        <v>-9055.4500000000007</v>
      </c>
      <c r="F13" s="6">
        <f>F7</f>
        <v>-23100</v>
      </c>
      <c r="G13" s="6">
        <f>G7</f>
        <v>-6337.71</v>
      </c>
      <c r="H13" s="6">
        <f>H7</f>
        <v>-22405.52</v>
      </c>
      <c r="I13" s="6">
        <f>I7</f>
        <v>-19500</v>
      </c>
    </row>
    <row r="14" spans="1:11" x14ac:dyDescent="0.25">
      <c r="A14" s="7" t="s">
        <v>3</v>
      </c>
      <c r="E14" s="6">
        <f>E10</f>
        <v>4.5999999999999996</v>
      </c>
      <c r="F14" s="6">
        <f t="shared" ref="F14:I14" si="0">F10</f>
        <v>0</v>
      </c>
      <c r="G14" s="6">
        <f t="shared" si="0"/>
        <v>0</v>
      </c>
      <c r="H14" s="6">
        <f t="shared" si="0"/>
        <v>0</v>
      </c>
      <c r="I14" s="6">
        <f t="shared" si="0"/>
        <v>0</v>
      </c>
    </row>
    <row r="15" spans="1:11" ht="15.75" x14ac:dyDescent="0.25">
      <c r="A15" s="14" t="s">
        <v>140</v>
      </c>
      <c r="B15" s="14"/>
      <c r="C15" s="14"/>
      <c r="D15" s="14"/>
      <c r="E15" s="16">
        <f>E13+E14</f>
        <v>-9050.85</v>
      </c>
      <c r="F15" s="16">
        <f t="shared" ref="F15:I15" si="1">F13+F14</f>
        <v>-23100</v>
      </c>
      <c r="G15" s="16">
        <f t="shared" si="1"/>
        <v>-6337.71</v>
      </c>
      <c r="H15" s="16">
        <f t="shared" si="1"/>
        <v>-22405.52</v>
      </c>
      <c r="I15" s="16">
        <f t="shared" si="1"/>
        <v>-19500</v>
      </c>
    </row>
    <row r="17" spans="1:11" ht="57" x14ac:dyDescent="0.45">
      <c r="A17" s="31" t="s">
        <v>235</v>
      </c>
      <c r="B17" s="4" t="s">
        <v>243</v>
      </c>
    </row>
    <row r="18" spans="1:11" ht="63.75" x14ac:dyDescent="0.3">
      <c r="A18" s="32" t="s">
        <v>125</v>
      </c>
      <c r="B18" s="10"/>
      <c r="C18" s="10"/>
      <c r="D18" s="46" t="s">
        <v>240</v>
      </c>
      <c r="E18" s="24" t="s">
        <v>121</v>
      </c>
      <c r="F18" s="24" t="s">
        <v>123</v>
      </c>
      <c r="G18" s="24" t="s">
        <v>156</v>
      </c>
      <c r="H18" s="24" t="s">
        <v>122</v>
      </c>
      <c r="I18" s="24" t="s">
        <v>215</v>
      </c>
      <c r="J18" s="24" t="s">
        <v>422</v>
      </c>
      <c r="K18" s="24" t="s">
        <v>421</v>
      </c>
    </row>
    <row r="19" spans="1:11" ht="51" x14ac:dyDescent="0.25">
      <c r="A19" s="33" t="s">
        <v>163</v>
      </c>
      <c r="F19" s="19">
        <v>29570.93</v>
      </c>
      <c r="G19" s="20">
        <v>35510.51</v>
      </c>
      <c r="H19" s="8">
        <v>35820.410000000003</v>
      </c>
      <c r="I19" s="53">
        <f>F19-H19</f>
        <v>-6249.4800000000032</v>
      </c>
      <c r="J19" t="s">
        <v>333</v>
      </c>
      <c r="K19" s="56" t="s">
        <v>420</v>
      </c>
    </row>
    <row r="20" spans="1:11" ht="15.75" x14ac:dyDescent="0.25">
      <c r="A20" s="33" t="s">
        <v>164</v>
      </c>
      <c r="F20" s="19">
        <v>10000</v>
      </c>
      <c r="G20" s="20">
        <v>6516.55</v>
      </c>
      <c r="H20" s="8">
        <v>9977.3700000000008</v>
      </c>
      <c r="I20" s="8">
        <f>F20-H20</f>
        <v>22.6299999999992</v>
      </c>
      <c r="J20" t="s">
        <v>334</v>
      </c>
    </row>
    <row r="21" spans="1:11" ht="15.75" x14ac:dyDescent="0.25">
      <c r="A21" s="14"/>
      <c r="B21" s="14"/>
      <c r="C21" s="14"/>
      <c r="D21" s="14"/>
      <c r="E21" s="16">
        <f t="shared" ref="E21:H21" si="2">SUM(E19:E20)</f>
        <v>0</v>
      </c>
      <c r="F21" s="16">
        <f t="shared" si="2"/>
        <v>39570.93</v>
      </c>
      <c r="G21" s="16">
        <f t="shared" si="2"/>
        <v>42027.060000000005</v>
      </c>
      <c r="H21" s="16">
        <f t="shared" si="2"/>
        <v>45797.780000000006</v>
      </c>
      <c r="I21" s="16">
        <f>SUM(I19:I20)</f>
        <v>-6226.850000000004</v>
      </c>
    </row>
    <row r="23" spans="1:11" ht="15.75" x14ac:dyDescent="0.25">
      <c r="B23" s="21"/>
      <c r="C23" s="21"/>
      <c r="D23" s="21"/>
      <c r="E23" s="8"/>
      <c r="F23" s="8"/>
      <c r="G23"/>
      <c r="H23"/>
      <c r="I23"/>
    </row>
    <row r="29" spans="1:11" ht="24" x14ac:dyDescent="0.4">
      <c r="A29" s="5"/>
    </row>
  </sheetData>
  <sheetProtection algorithmName="SHA-512" hashValue="OXYKOKB+AmuAwQc1kfXExdQx3TtBnZo+AeW7vVIyOII/A2GSU+PgotiuibAfsnM64sX80qXzPFSfSekGb40ufw==" saltValue="rDNVeHZbHVDNAQowwBWG9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24CB2-6FFB-4967-AF42-EB692A54DFEB}">
  <sheetPr>
    <pageSetUpPr fitToPage="1"/>
  </sheetPr>
  <dimension ref="A1:N41"/>
  <sheetViews>
    <sheetView topLeftCell="A4" workbookViewId="0">
      <selection activeCell="L6" sqref="L6"/>
    </sheetView>
  </sheetViews>
  <sheetFormatPr defaultColWidth="8.7109375" defaultRowHeight="15" x14ac:dyDescent="0.25"/>
  <cols>
    <col min="1" max="1" width="43.42578125" customWidth="1"/>
    <col min="5" max="7" width="0" hidden="1" customWidth="1"/>
    <col min="8" max="8" width="15.42578125" style="6" customWidth="1"/>
    <col min="9" max="9" width="15.7109375" style="6" customWidth="1"/>
    <col min="10" max="10" width="15" style="6" customWidth="1"/>
    <col min="11" max="11" width="15.7109375" style="6" customWidth="1"/>
    <col min="12" max="12" width="18.7109375" style="6" customWidth="1"/>
    <col min="13" max="13" width="20" customWidth="1"/>
    <col min="14" max="14" width="25.42578125" customWidth="1"/>
  </cols>
  <sheetData>
    <row r="1" spans="1:14" ht="24" x14ac:dyDescent="0.4">
      <c r="A1" s="5" t="s">
        <v>126</v>
      </c>
      <c r="B1" s="10"/>
      <c r="C1" s="10"/>
      <c r="D1" s="10"/>
      <c r="E1" s="10"/>
      <c r="F1" s="10"/>
      <c r="G1" s="8"/>
      <c r="H1" s="8"/>
      <c r="I1" s="8"/>
      <c r="J1" s="8"/>
      <c r="K1" s="8"/>
      <c r="L1" s="8"/>
    </row>
    <row r="2" spans="1:14" ht="33" x14ac:dyDescent="0.35">
      <c r="A2" s="49" t="s">
        <v>250</v>
      </c>
      <c r="B2" s="10"/>
      <c r="C2" s="10"/>
      <c r="D2" s="46" t="s">
        <v>240</v>
      </c>
      <c r="E2" s="10"/>
      <c r="F2" s="10"/>
      <c r="G2" s="8"/>
      <c r="H2" s="24" t="s">
        <v>121</v>
      </c>
      <c r="I2" s="24" t="s">
        <v>123</v>
      </c>
      <c r="J2" s="24" t="s">
        <v>156</v>
      </c>
      <c r="K2" s="24" t="s">
        <v>122</v>
      </c>
      <c r="L2" s="24" t="s">
        <v>124</v>
      </c>
      <c r="M2" s="24" t="s">
        <v>422</v>
      </c>
      <c r="N2" s="24" t="s">
        <v>421</v>
      </c>
    </row>
    <row r="3" spans="1:14" ht="75" x14ac:dyDescent="0.25">
      <c r="A3" s="10" t="s">
        <v>250</v>
      </c>
      <c r="B3" s="10"/>
      <c r="C3" s="10"/>
      <c r="D3" s="10"/>
      <c r="E3" s="10"/>
      <c r="F3" s="10"/>
      <c r="G3" s="8"/>
      <c r="H3" s="6">
        <v>-8125.56</v>
      </c>
      <c r="I3" s="6">
        <v>-35000</v>
      </c>
      <c r="J3" s="6">
        <v>-1701.22</v>
      </c>
      <c r="K3" s="6">
        <v>-9516.84</v>
      </c>
      <c r="L3" s="6">
        <v>-10000</v>
      </c>
      <c r="M3" t="s">
        <v>346</v>
      </c>
      <c r="N3" s="34" t="s">
        <v>449</v>
      </c>
    </row>
    <row r="4" spans="1:14" ht="38.25" x14ac:dyDescent="0.25">
      <c r="A4" s="10" t="s">
        <v>444</v>
      </c>
      <c r="B4" s="10"/>
      <c r="C4" s="10"/>
      <c r="D4" s="10"/>
      <c r="E4" s="10"/>
      <c r="F4" s="10"/>
      <c r="G4" s="8"/>
      <c r="H4" s="6">
        <v>-385.5</v>
      </c>
      <c r="I4" s="6">
        <v>-31000</v>
      </c>
      <c r="J4" s="6">
        <v>-7.74</v>
      </c>
      <c r="K4" s="6">
        <v>-7.74</v>
      </c>
      <c r="L4" s="6">
        <v>-6000</v>
      </c>
      <c r="M4" t="s">
        <v>347</v>
      </c>
      <c r="N4" s="56" t="s">
        <v>445</v>
      </c>
    </row>
    <row r="5" spans="1:14" ht="45" x14ac:dyDescent="0.25">
      <c r="A5" s="10" t="s">
        <v>73</v>
      </c>
      <c r="B5" s="10"/>
      <c r="C5" s="10"/>
      <c r="D5" s="10"/>
      <c r="E5" s="10"/>
      <c r="F5" s="10"/>
      <c r="G5" s="8"/>
      <c r="H5" s="6">
        <v>0</v>
      </c>
      <c r="I5" s="6">
        <v>-5000</v>
      </c>
      <c r="J5" s="6">
        <v>0</v>
      </c>
      <c r="K5" s="6">
        <v>-5000</v>
      </c>
      <c r="L5" s="6">
        <v>-367.51</v>
      </c>
      <c r="M5" t="s">
        <v>348</v>
      </c>
      <c r="N5" s="45" t="s">
        <v>446</v>
      </c>
    </row>
    <row r="6" spans="1:14" ht="45" x14ac:dyDescent="0.25">
      <c r="A6" s="10" t="s">
        <v>74</v>
      </c>
      <c r="B6" s="10"/>
      <c r="C6" s="10"/>
      <c r="D6" s="10"/>
      <c r="E6" s="10"/>
      <c r="F6" s="10"/>
      <c r="G6" s="8"/>
      <c r="H6" s="6">
        <v>0</v>
      </c>
      <c r="I6" s="6">
        <v>-1000</v>
      </c>
      <c r="J6" s="6">
        <v>0</v>
      </c>
      <c r="K6" s="6">
        <v>-46.8</v>
      </c>
      <c r="L6" s="6">
        <v>-1000</v>
      </c>
      <c r="M6" t="s">
        <v>349</v>
      </c>
      <c r="N6" s="34" t="s">
        <v>447</v>
      </c>
    </row>
    <row r="7" spans="1:14" ht="45" x14ac:dyDescent="0.25">
      <c r="A7" s="10" t="s">
        <v>249</v>
      </c>
      <c r="B7" s="10"/>
      <c r="C7" s="10"/>
      <c r="D7" s="10"/>
      <c r="E7" s="10"/>
      <c r="F7" s="10"/>
      <c r="G7" s="8"/>
      <c r="H7" s="6">
        <v>0</v>
      </c>
      <c r="I7" s="6">
        <v>0</v>
      </c>
      <c r="J7" s="6">
        <v>0</v>
      </c>
      <c r="K7" s="6">
        <v>0</v>
      </c>
      <c r="L7" s="6">
        <v>-3500</v>
      </c>
      <c r="M7" t="s">
        <v>270</v>
      </c>
      <c r="N7" s="34" t="s">
        <v>448</v>
      </c>
    </row>
    <row r="8" spans="1:14" ht="15.75" x14ac:dyDescent="0.25">
      <c r="A8" s="10"/>
      <c r="B8" s="9" t="s">
        <v>38</v>
      </c>
      <c r="C8" s="10"/>
      <c r="D8" s="10"/>
      <c r="E8" s="10"/>
      <c r="F8" s="10"/>
      <c r="G8" s="8"/>
      <c r="H8" s="7">
        <f>SUM(H3:H7)</f>
        <v>-8511.0600000000013</v>
      </c>
      <c r="I8" s="7">
        <f>SUM(I3:I7)</f>
        <v>-72000</v>
      </c>
      <c r="J8" s="7">
        <f>SUM(J3:J7)</f>
        <v>-1708.96</v>
      </c>
      <c r="K8" s="7">
        <f>SUM(K3:K7)</f>
        <v>-14571.38</v>
      </c>
      <c r="L8" s="7">
        <f>SUM(L3:L7)</f>
        <v>-20867.510000000002</v>
      </c>
    </row>
    <row r="9" spans="1:14" ht="15.75" x14ac:dyDescent="0.25">
      <c r="A9" s="10" t="s">
        <v>70</v>
      </c>
      <c r="B9" s="10"/>
      <c r="C9" s="10"/>
      <c r="D9" s="10"/>
      <c r="E9" s="10"/>
      <c r="F9" s="10"/>
      <c r="G9" s="8"/>
      <c r="H9" s="6">
        <v>553.02</v>
      </c>
      <c r="I9" s="6">
        <v>150</v>
      </c>
      <c r="J9" s="6">
        <v>380</v>
      </c>
      <c r="K9" s="6">
        <v>747</v>
      </c>
      <c r="L9" s="6">
        <v>150</v>
      </c>
      <c r="M9" t="s">
        <v>350</v>
      </c>
    </row>
    <row r="10" spans="1:14" ht="15.75" x14ac:dyDescent="0.25">
      <c r="A10" s="10" t="s">
        <v>72</v>
      </c>
      <c r="B10" s="10"/>
      <c r="C10" s="10"/>
      <c r="D10" s="10"/>
      <c r="E10" s="10"/>
      <c r="F10" s="10"/>
      <c r="G10" s="8"/>
      <c r="H10" s="6">
        <v>59.6</v>
      </c>
      <c r="I10" s="6">
        <v>0</v>
      </c>
      <c r="J10" s="6">
        <v>38.14</v>
      </c>
      <c r="K10" s="6">
        <v>38.14</v>
      </c>
      <c r="L10" s="6">
        <v>0</v>
      </c>
      <c r="M10" t="s">
        <v>351</v>
      </c>
    </row>
    <row r="11" spans="1:14" ht="15.75" x14ac:dyDescent="0.25">
      <c r="A11" s="10" t="s">
        <v>71</v>
      </c>
      <c r="B11" s="10"/>
      <c r="C11" s="10"/>
      <c r="D11" s="10"/>
      <c r="E11" s="10"/>
      <c r="F11" s="10"/>
      <c r="G11" s="8"/>
      <c r="H11" s="6">
        <v>135.94999999999999</v>
      </c>
      <c r="I11" s="6">
        <v>10000</v>
      </c>
      <c r="J11" s="6">
        <v>18</v>
      </c>
      <c r="K11" s="6">
        <v>18.61</v>
      </c>
      <c r="L11" s="6">
        <v>10000</v>
      </c>
      <c r="M11" t="s">
        <v>352</v>
      </c>
    </row>
    <row r="12" spans="1:14" ht="15.75" x14ac:dyDescent="0.25">
      <c r="A12" s="10"/>
      <c r="B12" s="9" t="s">
        <v>3</v>
      </c>
      <c r="C12" s="10"/>
      <c r="D12" s="10"/>
      <c r="E12" s="10"/>
      <c r="F12" s="10"/>
      <c r="G12" s="8"/>
      <c r="H12" s="7">
        <f>SUM(H9:H11)</f>
        <v>748.56999999999994</v>
      </c>
      <c r="I12" s="7">
        <f t="shared" ref="I12:L12" si="0">SUM(I9:I11)</f>
        <v>10150</v>
      </c>
      <c r="J12" s="7">
        <f t="shared" si="0"/>
        <v>436.14</v>
      </c>
      <c r="K12" s="7">
        <f t="shared" si="0"/>
        <v>803.75</v>
      </c>
      <c r="L12" s="7">
        <f t="shared" si="0"/>
        <v>10150</v>
      </c>
    </row>
    <row r="13" spans="1:14" ht="15.75" x14ac:dyDescent="0.25">
      <c r="A13" s="14" t="s">
        <v>147</v>
      </c>
      <c r="B13" s="17"/>
      <c r="C13" s="14"/>
      <c r="D13" s="14"/>
      <c r="E13" s="14"/>
      <c r="F13" s="14"/>
      <c r="G13" s="16"/>
      <c r="H13" s="16">
        <f t="shared" ref="H13:K13" si="1">H12-H8</f>
        <v>9259.630000000001</v>
      </c>
      <c r="I13" s="16">
        <f t="shared" si="1"/>
        <v>82150</v>
      </c>
      <c r="J13" s="16">
        <f t="shared" si="1"/>
        <v>2145.1</v>
      </c>
      <c r="K13" s="16">
        <f t="shared" si="1"/>
        <v>15375.13</v>
      </c>
      <c r="L13" s="16">
        <f>L12-L8</f>
        <v>31017.510000000002</v>
      </c>
    </row>
    <row r="15" spans="1:14" x14ac:dyDescent="0.25">
      <c r="A15" s="7" t="s">
        <v>38</v>
      </c>
      <c r="H15" s="6">
        <f>H8</f>
        <v>-8511.0600000000013</v>
      </c>
      <c r="I15" s="6">
        <f t="shared" ref="I15:L15" si="2">I8</f>
        <v>-72000</v>
      </c>
      <c r="J15" s="6">
        <f t="shared" si="2"/>
        <v>-1708.96</v>
      </c>
      <c r="K15" s="6">
        <f t="shared" si="2"/>
        <v>-14571.38</v>
      </c>
      <c r="L15" s="6">
        <f t="shared" si="2"/>
        <v>-20867.510000000002</v>
      </c>
    </row>
    <row r="16" spans="1:14" x14ac:dyDescent="0.25">
      <c r="A16" s="7" t="s">
        <v>3</v>
      </c>
      <c r="H16" s="6">
        <f>H12</f>
        <v>748.56999999999994</v>
      </c>
      <c r="I16" s="6">
        <f t="shared" ref="I16:L16" si="3">I12</f>
        <v>10150</v>
      </c>
      <c r="J16" s="6">
        <f t="shared" si="3"/>
        <v>436.14</v>
      </c>
      <c r="K16" s="6">
        <f t="shared" si="3"/>
        <v>803.75</v>
      </c>
      <c r="L16" s="6">
        <f t="shared" si="3"/>
        <v>10150</v>
      </c>
    </row>
    <row r="17" spans="1:14" ht="15.75" x14ac:dyDescent="0.25">
      <c r="A17" s="14" t="s">
        <v>213</v>
      </c>
      <c r="B17" s="14"/>
      <c r="C17" s="14"/>
      <c r="D17" s="14"/>
      <c r="H17" s="16">
        <f>H15+H16</f>
        <v>-7762.4900000000016</v>
      </c>
      <c r="I17" s="16">
        <f t="shared" ref="I17:L17" si="4">I15+I16</f>
        <v>-61850</v>
      </c>
      <c r="J17" s="16">
        <f t="shared" si="4"/>
        <v>-1272.8200000000002</v>
      </c>
      <c r="K17" s="16">
        <f t="shared" si="4"/>
        <v>-13767.63</v>
      </c>
      <c r="L17" s="16">
        <f t="shared" si="4"/>
        <v>-10717.510000000002</v>
      </c>
    </row>
    <row r="19" spans="1:14" ht="28.5" x14ac:dyDescent="0.45">
      <c r="A19" s="31" t="s">
        <v>236</v>
      </c>
      <c r="B19" s="4" t="s">
        <v>244</v>
      </c>
    </row>
    <row r="20" spans="1:14" ht="48" x14ac:dyDescent="0.3">
      <c r="A20" s="4" t="s">
        <v>126</v>
      </c>
      <c r="B20" s="21"/>
      <c r="C20" s="21"/>
      <c r="D20" s="46" t="s">
        <v>240</v>
      </c>
      <c r="E20" s="21"/>
      <c r="F20" s="10"/>
      <c r="G20" s="8"/>
      <c r="H20" s="24" t="s">
        <v>121</v>
      </c>
      <c r="I20" s="24" t="s">
        <v>123</v>
      </c>
      <c r="J20" s="24" t="s">
        <v>156</v>
      </c>
      <c r="K20" s="24" t="s">
        <v>122</v>
      </c>
      <c r="L20" s="24" t="s">
        <v>215</v>
      </c>
      <c r="M20" s="24" t="s">
        <v>422</v>
      </c>
      <c r="N20" s="24" t="s">
        <v>421</v>
      </c>
    </row>
    <row r="21" spans="1:14" ht="15.75" x14ac:dyDescent="0.25">
      <c r="A21" s="18" t="s">
        <v>231</v>
      </c>
      <c r="B21" s="21"/>
      <c r="C21" s="21"/>
      <c r="D21" s="21" t="s">
        <v>242</v>
      </c>
      <c r="E21" s="21"/>
      <c r="F21" s="10"/>
      <c r="G21" s="8"/>
      <c r="H21" s="8"/>
      <c r="I21" s="19">
        <v>11800</v>
      </c>
      <c r="J21" s="20">
        <v>11800</v>
      </c>
      <c r="K21" s="8">
        <f>J21</f>
        <v>11800</v>
      </c>
      <c r="L21" s="8">
        <f t="shared" ref="L21:L26" si="5">I21-K21</f>
        <v>0</v>
      </c>
      <c r="M21" t="s">
        <v>340</v>
      </c>
    </row>
    <row r="22" spans="1:14" ht="15.75" x14ac:dyDescent="0.25">
      <c r="A22" s="18" t="s">
        <v>196</v>
      </c>
      <c r="B22" s="21"/>
      <c r="C22" s="21"/>
      <c r="D22" s="21" t="s">
        <v>242</v>
      </c>
      <c r="E22" s="21"/>
      <c r="F22" s="10"/>
      <c r="G22" s="8"/>
      <c r="H22" s="8"/>
      <c r="I22" s="19">
        <v>2200</v>
      </c>
      <c r="J22" s="20">
        <v>0</v>
      </c>
      <c r="K22" s="8">
        <v>0</v>
      </c>
      <c r="L22" s="8">
        <f t="shared" si="5"/>
        <v>2200</v>
      </c>
      <c r="M22" t="s">
        <v>341</v>
      </c>
    </row>
    <row r="23" spans="1:14" ht="15.75" x14ac:dyDescent="0.25">
      <c r="A23" s="18" t="s">
        <v>197</v>
      </c>
      <c r="B23" s="21"/>
      <c r="C23" s="21"/>
      <c r="D23" s="21" t="s">
        <v>242</v>
      </c>
      <c r="E23" s="21"/>
      <c r="F23" s="10"/>
      <c r="G23" s="8"/>
      <c r="H23" s="8"/>
      <c r="I23" s="19">
        <v>500</v>
      </c>
      <c r="J23" s="20">
        <v>0</v>
      </c>
      <c r="K23" s="8">
        <v>0</v>
      </c>
      <c r="L23" s="8">
        <f t="shared" si="5"/>
        <v>500</v>
      </c>
      <c r="M23" t="s">
        <v>342</v>
      </c>
    </row>
    <row r="24" spans="1:14" ht="15.75" x14ac:dyDescent="0.25">
      <c r="A24" s="18" t="s">
        <v>230</v>
      </c>
      <c r="B24" s="21"/>
      <c r="C24" s="21"/>
      <c r="D24" s="21" t="s">
        <v>242</v>
      </c>
      <c r="E24" s="21"/>
      <c r="F24" s="10"/>
      <c r="G24" s="8"/>
      <c r="H24" s="8"/>
      <c r="I24" s="19">
        <v>1320</v>
      </c>
      <c r="J24" s="20">
        <v>1320</v>
      </c>
      <c r="K24" s="8">
        <f>J24</f>
        <v>1320</v>
      </c>
      <c r="L24" s="8">
        <f t="shared" si="5"/>
        <v>0</v>
      </c>
      <c r="M24" t="s">
        <v>343</v>
      </c>
    </row>
    <row r="25" spans="1:14" ht="15.75" x14ac:dyDescent="0.25">
      <c r="A25" s="18" t="s">
        <v>232</v>
      </c>
      <c r="B25" s="21"/>
      <c r="C25" s="21"/>
      <c r="D25" s="21" t="s">
        <v>242</v>
      </c>
      <c r="E25" s="21"/>
      <c r="F25" s="10"/>
      <c r="G25" s="8"/>
      <c r="H25" s="8"/>
      <c r="I25" s="19">
        <v>3900</v>
      </c>
      <c r="J25" s="20">
        <v>0</v>
      </c>
      <c r="K25" s="8">
        <v>0</v>
      </c>
      <c r="L25" s="8">
        <f t="shared" si="5"/>
        <v>3900</v>
      </c>
      <c r="M25" t="s">
        <v>344</v>
      </c>
    </row>
    <row r="26" spans="1:14" ht="15.75" x14ac:dyDescent="0.25">
      <c r="A26" s="18" t="s">
        <v>200</v>
      </c>
      <c r="B26" s="21"/>
      <c r="C26" s="21"/>
      <c r="D26" s="21" t="s">
        <v>242</v>
      </c>
      <c r="E26" s="21"/>
      <c r="F26" s="10"/>
      <c r="G26" s="8"/>
      <c r="H26" s="8"/>
      <c r="I26" s="19">
        <v>429</v>
      </c>
      <c r="J26" s="20">
        <v>418</v>
      </c>
      <c r="K26" s="8">
        <f t="shared" ref="K26" si="6">J26</f>
        <v>418</v>
      </c>
      <c r="L26" s="8">
        <f t="shared" si="5"/>
        <v>11</v>
      </c>
      <c r="M26" t="s">
        <v>345</v>
      </c>
    </row>
    <row r="27" spans="1:14" ht="15.75" x14ac:dyDescent="0.25">
      <c r="A27" s="14"/>
      <c r="B27" s="22" t="s">
        <v>174</v>
      </c>
      <c r="C27" s="22"/>
      <c r="D27" s="22"/>
      <c r="E27" s="22"/>
      <c r="F27" s="14"/>
      <c r="G27" s="16"/>
      <c r="H27" s="16">
        <f t="shared" ref="H27:K27" si="7">SUM(H21:H26)</f>
        <v>0</v>
      </c>
      <c r="I27" s="16">
        <f t="shared" si="7"/>
        <v>20149</v>
      </c>
      <c r="J27" s="16">
        <f t="shared" si="7"/>
        <v>13538</v>
      </c>
      <c r="K27" s="16">
        <f t="shared" si="7"/>
        <v>13538</v>
      </c>
      <c r="L27" s="16">
        <f>SUM(L21:L26)</f>
        <v>6611</v>
      </c>
    </row>
    <row r="29" spans="1:14" ht="28.5" x14ac:dyDescent="0.45">
      <c r="A29" s="31" t="s">
        <v>235</v>
      </c>
      <c r="B29" s="4" t="s">
        <v>243</v>
      </c>
    </row>
    <row r="30" spans="1:14" ht="47.25" x14ac:dyDescent="0.25">
      <c r="D30" s="46" t="s">
        <v>240</v>
      </c>
      <c r="E30" s="21"/>
      <c r="F30" s="10"/>
      <c r="G30" s="8"/>
      <c r="H30" s="24" t="s">
        <v>121</v>
      </c>
      <c r="I30" s="24" t="s">
        <v>123</v>
      </c>
      <c r="J30" s="24" t="s">
        <v>156</v>
      </c>
      <c r="K30" s="24" t="s">
        <v>122</v>
      </c>
      <c r="L30" s="24" t="s">
        <v>215</v>
      </c>
      <c r="M30" s="24" t="s">
        <v>422</v>
      </c>
      <c r="N30" s="24" t="s">
        <v>421</v>
      </c>
    </row>
    <row r="31" spans="1:14" ht="75" x14ac:dyDescent="0.25">
      <c r="A31" s="18" t="s">
        <v>251</v>
      </c>
      <c r="B31" s="21"/>
      <c r="C31" s="21"/>
      <c r="D31" s="21"/>
      <c r="E31" s="21"/>
      <c r="F31" s="10"/>
      <c r="G31" s="8"/>
      <c r="H31" s="8"/>
      <c r="I31" s="19">
        <v>56032.77</v>
      </c>
      <c r="J31" s="20">
        <v>0</v>
      </c>
      <c r="K31" s="8">
        <f>J31</f>
        <v>0</v>
      </c>
      <c r="L31" s="8">
        <f>I31-K31</f>
        <v>56032.77</v>
      </c>
      <c r="M31" t="s">
        <v>335</v>
      </c>
      <c r="N31" s="34" t="s">
        <v>442</v>
      </c>
    </row>
    <row r="32" spans="1:14" ht="30" x14ac:dyDescent="0.25">
      <c r="A32" s="18" t="s">
        <v>441</v>
      </c>
      <c r="B32" s="21"/>
      <c r="C32" s="21"/>
      <c r="D32" s="21"/>
      <c r="E32" s="21"/>
      <c r="F32" s="10"/>
      <c r="G32" s="8"/>
      <c r="H32" s="8"/>
      <c r="I32" s="19">
        <v>18873.3</v>
      </c>
      <c r="J32" s="20">
        <v>0</v>
      </c>
      <c r="K32" s="8">
        <f>J32</f>
        <v>0</v>
      </c>
      <c r="L32" s="8">
        <f>I32-K32</f>
        <v>18873.3</v>
      </c>
      <c r="M32" t="s">
        <v>336</v>
      </c>
      <c r="N32" s="34" t="s">
        <v>440</v>
      </c>
    </row>
    <row r="33" spans="1:14" ht="60" x14ac:dyDescent="0.25">
      <c r="A33" s="18" t="s">
        <v>437</v>
      </c>
      <c r="B33" s="21"/>
      <c r="C33" s="21"/>
      <c r="D33" s="21"/>
      <c r="E33" s="21"/>
      <c r="F33" s="10"/>
      <c r="G33" s="8"/>
      <c r="H33" s="8"/>
      <c r="I33" s="19">
        <v>15000</v>
      </c>
      <c r="J33" s="20">
        <v>0</v>
      </c>
      <c r="K33" s="8">
        <f>J33</f>
        <v>0</v>
      </c>
      <c r="L33" s="8">
        <f>I33-K33</f>
        <v>15000</v>
      </c>
      <c r="M33" t="s">
        <v>337</v>
      </c>
      <c r="N33" s="34" t="s">
        <v>438</v>
      </c>
    </row>
    <row r="34" spans="1:14" ht="30" x14ac:dyDescent="0.25">
      <c r="A34" s="18" t="s">
        <v>253</v>
      </c>
      <c r="B34" s="21"/>
      <c r="C34" s="21"/>
      <c r="D34" s="21"/>
      <c r="E34" s="21"/>
      <c r="F34" s="10"/>
      <c r="G34" s="8"/>
      <c r="H34" s="8"/>
      <c r="I34" s="19">
        <v>3000</v>
      </c>
      <c r="J34" s="20">
        <v>0</v>
      </c>
      <c r="K34" s="8">
        <f>J34</f>
        <v>0</v>
      </c>
      <c r="L34" s="8">
        <f>I34-K34</f>
        <v>3000</v>
      </c>
      <c r="M34" t="s">
        <v>338</v>
      </c>
      <c r="N34" s="34" t="s">
        <v>443</v>
      </c>
    </row>
    <row r="35" spans="1:14" ht="60" x14ac:dyDescent="0.25">
      <c r="A35" s="18" t="s">
        <v>252</v>
      </c>
      <c r="B35" s="21"/>
      <c r="C35" s="21"/>
      <c r="D35" s="21"/>
      <c r="E35" s="21"/>
      <c r="F35" s="10"/>
      <c r="G35" s="8"/>
      <c r="H35" s="8"/>
      <c r="I35" s="19">
        <v>13000</v>
      </c>
      <c r="J35" s="20">
        <v>39.519999999999996</v>
      </c>
      <c r="K35" s="8">
        <v>0</v>
      </c>
      <c r="L35" s="8">
        <f>I35-K35</f>
        <v>13000</v>
      </c>
      <c r="M35" t="s">
        <v>339</v>
      </c>
      <c r="N35" s="34" t="s">
        <v>439</v>
      </c>
    </row>
    <row r="36" spans="1:14" ht="15.75" x14ac:dyDescent="0.25">
      <c r="A36" s="14"/>
      <c r="B36" s="14"/>
      <c r="C36" s="14"/>
      <c r="D36" s="14"/>
      <c r="E36" s="14"/>
      <c r="F36" s="14"/>
      <c r="G36" s="14"/>
      <c r="H36" s="16">
        <f t="shared" ref="H36:K36" si="8">SUM(H31:H35)</f>
        <v>0</v>
      </c>
      <c r="I36" s="16">
        <f t="shared" si="8"/>
        <v>105906.06999999999</v>
      </c>
      <c r="J36" s="16">
        <f t="shared" si="8"/>
        <v>39.519999999999996</v>
      </c>
      <c r="K36" s="16">
        <f t="shared" si="8"/>
        <v>0</v>
      </c>
      <c r="L36" s="16">
        <f>SUM(L31:L35)</f>
        <v>105906.06999999999</v>
      </c>
    </row>
    <row r="40" spans="1:14" x14ac:dyDescent="0.25">
      <c r="J40"/>
      <c r="K40"/>
      <c r="L40"/>
    </row>
    <row r="41" spans="1:14" x14ac:dyDescent="0.25">
      <c r="J41"/>
      <c r="K41"/>
      <c r="L41"/>
    </row>
  </sheetData>
  <sheetProtection algorithmName="SHA-512" hashValue="D/49zjWbYnQN0Cz1cCHOH/DghpeZHHyhA255D9uvN/SCPkFo7DVxoZAUkOZLD/XDtX0tZfskOUOq7x8eujLsYA==" saltValue="xfHiAbUvG4CgnSr21jsIO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6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1A7F7-C5EB-4762-82C8-9ED840119FCF}">
  <sheetPr>
    <pageSetUpPr fitToPage="1"/>
  </sheetPr>
  <dimension ref="A1:K61"/>
  <sheetViews>
    <sheetView topLeftCell="A38" workbookViewId="0">
      <selection activeCell="E26" sqref="E26"/>
    </sheetView>
  </sheetViews>
  <sheetFormatPr defaultColWidth="8.7109375" defaultRowHeight="15" x14ac:dyDescent="0.25"/>
  <cols>
    <col min="1" max="1" width="26.42578125" customWidth="1"/>
    <col min="4" max="4" width="12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</cols>
  <sheetData>
    <row r="1" spans="1:11" ht="24" x14ac:dyDescent="0.4">
      <c r="A1" s="5" t="s">
        <v>127</v>
      </c>
      <c r="B1" s="10"/>
      <c r="C1" s="10"/>
      <c r="D1" s="10"/>
      <c r="E1" s="8"/>
      <c r="F1" s="8"/>
      <c r="G1" s="8"/>
      <c r="H1" s="8"/>
      <c r="I1" s="8"/>
    </row>
    <row r="2" spans="1:11" ht="33" x14ac:dyDescent="0.35">
      <c r="A2" s="51" t="s">
        <v>17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</row>
    <row r="3" spans="1:11" ht="15.75" x14ac:dyDescent="0.25">
      <c r="A3" s="12" t="s">
        <v>75</v>
      </c>
      <c r="B3" s="10"/>
      <c r="C3" s="10"/>
      <c r="D3" t="s">
        <v>255</v>
      </c>
      <c r="E3" s="6">
        <v>-500</v>
      </c>
      <c r="F3" s="6">
        <v>-1500</v>
      </c>
      <c r="G3" s="6">
        <v>0</v>
      </c>
      <c r="H3" s="6">
        <v>-1500</v>
      </c>
      <c r="I3" s="6">
        <v>-1500</v>
      </c>
      <c r="J3" t="s">
        <v>353</v>
      </c>
    </row>
    <row r="4" spans="1:11" ht="15.75" x14ac:dyDescent="0.25">
      <c r="A4" s="12" t="s">
        <v>35</v>
      </c>
      <c r="B4" s="10"/>
      <c r="C4" s="10"/>
      <c r="D4" t="s">
        <v>255</v>
      </c>
      <c r="E4" s="6">
        <v>-40</v>
      </c>
      <c r="F4" s="6">
        <v>-50</v>
      </c>
      <c r="G4" s="6">
        <v>0</v>
      </c>
      <c r="H4" s="6">
        <v>-25</v>
      </c>
      <c r="I4" s="6">
        <v>-50</v>
      </c>
      <c r="J4" t="s">
        <v>356</v>
      </c>
    </row>
    <row r="5" spans="1:11" ht="15.75" x14ac:dyDescent="0.25">
      <c r="A5" s="12" t="s">
        <v>76</v>
      </c>
      <c r="B5" s="10"/>
      <c r="C5" s="10"/>
      <c r="D5" t="s">
        <v>256</v>
      </c>
      <c r="E5" s="6">
        <v>-7860.83</v>
      </c>
      <c r="F5" s="6">
        <v>-12000</v>
      </c>
      <c r="G5" s="6">
        <v>-1340.21</v>
      </c>
      <c r="H5" s="6">
        <v>-11568.21</v>
      </c>
      <c r="I5" s="6">
        <v>-12000</v>
      </c>
      <c r="J5" t="s">
        <v>354</v>
      </c>
    </row>
    <row r="6" spans="1:11" ht="15.75" x14ac:dyDescent="0.25">
      <c r="A6" s="10"/>
      <c r="B6" s="9" t="s">
        <v>38</v>
      </c>
      <c r="C6" s="10"/>
      <c r="D6" s="10"/>
      <c r="E6" s="7">
        <f>SUM(E3:E5)</f>
        <v>-8400.83</v>
      </c>
      <c r="F6" s="7">
        <f>SUM(F3:F5)</f>
        <v>-13550</v>
      </c>
      <c r="G6" s="7">
        <f>SUM(G3:G5)</f>
        <v>-1340.21</v>
      </c>
      <c r="H6" s="7">
        <f>SUM(H3:H5)</f>
        <v>-13093.21</v>
      </c>
      <c r="I6" s="7">
        <f>SUM(I3:I5)</f>
        <v>-13550</v>
      </c>
    </row>
    <row r="7" spans="1:11" ht="15.75" x14ac:dyDescent="0.25">
      <c r="A7" s="10" t="s">
        <v>19</v>
      </c>
      <c r="B7" s="10"/>
      <c r="C7" s="10"/>
      <c r="D7" t="s">
        <v>255</v>
      </c>
      <c r="E7" s="6">
        <v>0</v>
      </c>
      <c r="F7" s="6">
        <v>6000</v>
      </c>
      <c r="G7" s="6">
        <v>0</v>
      </c>
      <c r="H7" s="6">
        <v>0</v>
      </c>
      <c r="I7" s="6">
        <v>0</v>
      </c>
      <c r="J7" t="s">
        <v>355</v>
      </c>
    </row>
    <row r="8" spans="1:11" ht="15.75" x14ac:dyDescent="0.25">
      <c r="A8" s="10"/>
      <c r="B8" s="9" t="s">
        <v>3</v>
      </c>
      <c r="C8" s="10"/>
      <c r="D8" s="10"/>
      <c r="E8" s="7">
        <f>SUM(E7:E7)</f>
        <v>0</v>
      </c>
      <c r="F8" s="7">
        <f>SUM(F7:F7)</f>
        <v>6000</v>
      </c>
      <c r="G8" s="7">
        <f>SUM(G7:G7)</f>
        <v>0</v>
      </c>
      <c r="H8" s="7">
        <f>SUM(H7:H7)</f>
        <v>0</v>
      </c>
      <c r="I8" s="7">
        <f>SUM(I7:I7)</f>
        <v>0</v>
      </c>
    </row>
    <row r="9" spans="1:11" ht="15.75" x14ac:dyDescent="0.25">
      <c r="A9" s="14" t="s">
        <v>148</v>
      </c>
      <c r="B9" s="17"/>
      <c r="C9" s="14"/>
      <c r="D9" s="14"/>
      <c r="E9" s="16">
        <f>E6+E8</f>
        <v>-8400.83</v>
      </c>
      <c r="F9" s="16">
        <f>F6+F8</f>
        <v>-7550</v>
      </c>
      <c r="G9" s="16">
        <f>G6+G8</f>
        <v>-1340.21</v>
      </c>
      <c r="H9" s="16">
        <f>H6+H8</f>
        <v>-13093.21</v>
      </c>
      <c r="I9" s="16">
        <f>I6+I8</f>
        <v>-13550</v>
      </c>
    </row>
    <row r="10" spans="1:11" ht="15.75" x14ac:dyDescent="0.25">
      <c r="A10" s="10"/>
      <c r="B10" s="9"/>
      <c r="C10" s="10"/>
      <c r="D10" s="10"/>
      <c r="E10" s="8"/>
      <c r="F10" s="8"/>
      <c r="G10" s="8"/>
      <c r="H10" s="8"/>
      <c r="I10" s="8"/>
    </row>
    <row r="11" spans="1:11" ht="33" x14ac:dyDescent="0.35">
      <c r="A11" s="49" t="s">
        <v>21</v>
      </c>
      <c r="B11" s="10"/>
      <c r="C11" s="10"/>
      <c r="D11" s="46" t="s">
        <v>240</v>
      </c>
      <c r="E11" s="24" t="s">
        <v>121</v>
      </c>
      <c r="F11" s="24" t="s">
        <v>123</v>
      </c>
      <c r="G11" s="24" t="s">
        <v>156</v>
      </c>
      <c r="H11" s="24" t="s">
        <v>122</v>
      </c>
      <c r="I11" s="24" t="s">
        <v>124</v>
      </c>
    </row>
    <row r="12" spans="1:11" ht="15.75" x14ac:dyDescent="0.25">
      <c r="A12" s="10" t="s">
        <v>37</v>
      </c>
      <c r="B12" s="10"/>
      <c r="C12" s="10"/>
      <c r="D12" s="10" t="s">
        <v>257</v>
      </c>
      <c r="E12" s="6">
        <v>0</v>
      </c>
      <c r="F12" s="6">
        <v>-8450</v>
      </c>
      <c r="G12" s="6">
        <v>-45</v>
      </c>
      <c r="H12" s="6">
        <v>-45</v>
      </c>
      <c r="I12" s="6">
        <v>0</v>
      </c>
      <c r="J12" t="s">
        <v>357</v>
      </c>
    </row>
    <row r="13" spans="1:11" ht="15.75" x14ac:dyDescent="0.25">
      <c r="A13" s="12" t="s">
        <v>36</v>
      </c>
      <c r="B13" s="10"/>
      <c r="C13" s="10"/>
      <c r="D13" s="10" t="s">
        <v>257</v>
      </c>
      <c r="E13" s="6">
        <v>0</v>
      </c>
      <c r="F13" s="6">
        <v>-7000</v>
      </c>
      <c r="G13" s="6">
        <v>0</v>
      </c>
      <c r="H13" s="6">
        <v>0</v>
      </c>
      <c r="I13" s="6">
        <v>0</v>
      </c>
      <c r="J13" t="s">
        <v>358</v>
      </c>
    </row>
    <row r="14" spans="1:11" ht="15.75" x14ac:dyDescent="0.25">
      <c r="A14" s="10" t="s">
        <v>89</v>
      </c>
      <c r="B14" s="10"/>
      <c r="C14" s="10"/>
      <c r="D14" s="10" t="s">
        <v>257</v>
      </c>
      <c r="E14" s="6">
        <v>-100</v>
      </c>
      <c r="F14" s="6">
        <v>-250</v>
      </c>
      <c r="G14" s="6">
        <v>233.33</v>
      </c>
      <c r="H14" s="6">
        <v>233.33</v>
      </c>
      <c r="I14" s="6">
        <v>-1000</v>
      </c>
      <c r="J14" t="s">
        <v>359</v>
      </c>
      <c r="K14" s="6" t="s">
        <v>360</v>
      </c>
    </row>
    <row r="15" spans="1:11" ht="15.75" x14ac:dyDescent="0.25">
      <c r="A15" s="10" t="s">
        <v>111</v>
      </c>
      <c r="B15" s="10"/>
      <c r="C15" s="10"/>
      <c r="D15" s="10" t="s">
        <v>257</v>
      </c>
      <c r="E15" s="6">
        <v>-81126.23</v>
      </c>
      <c r="F15" s="6">
        <v>-5250</v>
      </c>
      <c r="G15" s="6">
        <v>-399.09</v>
      </c>
      <c r="H15" s="6">
        <v>-399.09</v>
      </c>
      <c r="I15" s="6">
        <v>-1000</v>
      </c>
      <c r="J15" t="s">
        <v>396</v>
      </c>
    </row>
    <row r="16" spans="1:11" ht="15.75" x14ac:dyDescent="0.25">
      <c r="A16" s="10"/>
      <c r="B16" s="9" t="s">
        <v>38</v>
      </c>
      <c r="C16" s="10"/>
      <c r="D16" s="10"/>
      <c r="E16" s="7">
        <f>SUM(E12:E15)</f>
        <v>-81226.23</v>
      </c>
      <c r="F16" s="7">
        <f>SUM(F12:F15)</f>
        <v>-20950</v>
      </c>
      <c r="G16" s="7">
        <f>SUM(G12:G15)</f>
        <v>-210.75999999999996</v>
      </c>
      <c r="H16" s="7">
        <f>SUM(H12:H15)</f>
        <v>-210.75999999999996</v>
      </c>
      <c r="I16" s="7">
        <f>SUM(I12:I15)</f>
        <v>-2000</v>
      </c>
    </row>
    <row r="17" spans="1:11" ht="15.75" x14ac:dyDescent="0.25">
      <c r="A17" s="12" t="s">
        <v>22</v>
      </c>
      <c r="B17" s="10"/>
      <c r="C17" s="10"/>
      <c r="D17" t="s">
        <v>255</v>
      </c>
      <c r="E17" s="6">
        <v>130</v>
      </c>
      <c r="F17" s="6">
        <v>40</v>
      </c>
      <c r="G17" s="6">
        <v>40</v>
      </c>
      <c r="H17" s="6">
        <v>60</v>
      </c>
      <c r="I17" s="6">
        <v>60</v>
      </c>
      <c r="J17" t="s">
        <v>361</v>
      </c>
    </row>
    <row r="18" spans="1:11" ht="15.75" x14ac:dyDescent="0.25">
      <c r="A18" s="12" t="s">
        <v>86</v>
      </c>
      <c r="B18" s="10"/>
      <c r="C18" s="10"/>
      <c r="D18" t="s">
        <v>255</v>
      </c>
      <c r="E18" s="6">
        <v>125115.85</v>
      </c>
      <c r="F18" s="6">
        <v>0</v>
      </c>
      <c r="G18" s="6">
        <v>995.37</v>
      </c>
      <c r="H18" s="6">
        <v>995.38</v>
      </c>
      <c r="I18" s="6">
        <v>1000</v>
      </c>
      <c r="J18" t="s">
        <v>398</v>
      </c>
    </row>
    <row r="19" spans="1:11" ht="15.75" x14ac:dyDescent="0.25">
      <c r="A19" s="10"/>
      <c r="B19" s="9" t="s">
        <v>3</v>
      </c>
      <c r="C19" s="10"/>
      <c r="D19" s="10"/>
      <c r="E19" s="7">
        <f>SUM(E17:E18)</f>
        <v>125245.85</v>
      </c>
      <c r="F19" s="7">
        <f>SUM(F17:F18)</f>
        <v>40</v>
      </c>
      <c r="G19" s="7">
        <f>SUM(G17:G18)</f>
        <v>1035.3699999999999</v>
      </c>
      <c r="H19" s="7">
        <f>SUM(H17:H18)</f>
        <v>1055.3800000000001</v>
      </c>
      <c r="I19" s="7">
        <f>SUM(I17:I18)</f>
        <v>1060</v>
      </c>
    </row>
    <row r="20" spans="1:11" ht="15.75" x14ac:dyDescent="0.25">
      <c r="A20" s="14" t="s">
        <v>149</v>
      </c>
      <c r="B20" s="14"/>
      <c r="C20" s="14"/>
      <c r="D20" s="14"/>
      <c r="E20" s="16">
        <f t="shared" ref="E20:H20" si="0">E16+E19</f>
        <v>44019.62000000001</v>
      </c>
      <c r="F20" s="16">
        <f t="shared" si="0"/>
        <v>-20910</v>
      </c>
      <c r="G20" s="16">
        <f t="shared" si="0"/>
        <v>824.6099999999999</v>
      </c>
      <c r="H20" s="16">
        <f t="shared" si="0"/>
        <v>844.62000000000012</v>
      </c>
      <c r="I20" s="16">
        <f>I16+I19</f>
        <v>-940</v>
      </c>
    </row>
    <row r="21" spans="1:11" ht="15.75" x14ac:dyDescent="0.25">
      <c r="A21" s="10"/>
      <c r="B21" s="10"/>
      <c r="C21" s="10"/>
      <c r="D21" s="10"/>
      <c r="E21" s="8"/>
      <c r="F21" s="8"/>
      <c r="G21" s="8"/>
      <c r="H21" s="8"/>
      <c r="I21" s="8"/>
    </row>
    <row r="22" spans="1:11" ht="33" x14ac:dyDescent="0.35">
      <c r="A22" s="51" t="s">
        <v>90</v>
      </c>
      <c r="B22" s="10"/>
      <c r="C22" s="10"/>
      <c r="D22" s="46" t="s">
        <v>240</v>
      </c>
      <c r="E22" s="24" t="s">
        <v>121</v>
      </c>
      <c r="F22" s="24" t="s">
        <v>123</v>
      </c>
      <c r="G22" s="24" t="s">
        <v>156</v>
      </c>
      <c r="H22" s="24" t="s">
        <v>122</v>
      </c>
      <c r="I22" s="24" t="s">
        <v>124</v>
      </c>
    </row>
    <row r="23" spans="1:11" ht="15.75" x14ac:dyDescent="0.25">
      <c r="A23" s="10" t="s">
        <v>91</v>
      </c>
      <c r="B23" s="10"/>
      <c r="C23" s="10"/>
      <c r="D23" s="10" t="s">
        <v>242</v>
      </c>
      <c r="E23" s="6">
        <v>-22145.91</v>
      </c>
      <c r="F23" s="6">
        <v>-20000</v>
      </c>
      <c r="G23" s="6">
        <v>-20507.150000000001</v>
      </c>
      <c r="H23" s="6">
        <v>-20507.150000000001</v>
      </c>
      <c r="I23" s="6">
        <v>-23000</v>
      </c>
      <c r="J23" t="s">
        <v>362</v>
      </c>
    </row>
    <row r="24" spans="1:11" ht="15.75" x14ac:dyDescent="0.25">
      <c r="A24" s="10" t="s">
        <v>92</v>
      </c>
      <c r="B24" s="10"/>
      <c r="C24" s="10"/>
      <c r="D24" s="10" t="s">
        <v>242</v>
      </c>
      <c r="E24" s="6">
        <v>-2930</v>
      </c>
      <c r="F24" s="6">
        <v>-3500</v>
      </c>
      <c r="G24" s="6">
        <v>-2930</v>
      </c>
      <c r="H24" s="6">
        <v>-2930</v>
      </c>
      <c r="I24" s="6">
        <v>-3500</v>
      </c>
      <c r="J24" t="s">
        <v>363</v>
      </c>
    </row>
    <row r="25" spans="1:11" ht="15.75" x14ac:dyDescent="0.25">
      <c r="A25" s="10" t="s">
        <v>93</v>
      </c>
      <c r="B25" s="10"/>
      <c r="C25" s="10"/>
      <c r="D25" s="10" t="s">
        <v>241</v>
      </c>
      <c r="E25" s="6">
        <v>-13283.37</v>
      </c>
      <c r="F25" s="6">
        <v>-2000</v>
      </c>
      <c r="G25" s="6">
        <v>0</v>
      </c>
      <c r="H25" s="6">
        <v>0</v>
      </c>
      <c r="I25" s="6">
        <v>0</v>
      </c>
      <c r="J25" t="s">
        <v>364</v>
      </c>
    </row>
    <row r="26" spans="1:11" ht="15.75" x14ac:dyDescent="0.25">
      <c r="A26" s="10" t="s">
        <v>94</v>
      </c>
      <c r="B26" s="10"/>
      <c r="C26" s="10"/>
      <c r="D26" s="10" t="s">
        <v>241</v>
      </c>
      <c r="E26" s="6">
        <v>0</v>
      </c>
      <c r="F26" s="6">
        <v>0</v>
      </c>
      <c r="G26" s="6">
        <v>0</v>
      </c>
      <c r="H26" s="6">
        <v>0</v>
      </c>
      <c r="I26" s="6">
        <v>-3000</v>
      </c>
      <c r="J26" t="s">
        <v>270</v>
      </c>
    </row>
    <row r="27" spans="1:11" ht="15.75" x14ac:dyDescent="0.25">
      <c r="A27" s="10" t="s">
        <v>95</v>
      </c>
      <c r="B27" s="10"/>
      <c r="C27" s="10"/>
      <c r="D27" s="10" t="s">
        <v>241</v>
      </c>
      <c r="E27" s="6">
        <v>-13736</v>
      </c>
      <c r="F27" s="6">
        <v>-4000</v>
      </c>
      <c r="G27" s="6">
        <v>-3494.35</v>
      </c>
      <c r="H27" s="6">
        <v>-3494.35</v>
      </c>
      <c r="I27" s="6">
        <v>-20000</v>
      </c>
      <c r="J27" t="s">
        <v>365</v>
      </c>
      <c r="K27" t="s">
        <v>433</v>
      </c>
    </row>
    <row r="28" spans="1:11" ht="15.75" x14ac:dyDescent="0.25">
      <c r="A28" s="10" t="s">
        <v>96</v>
      </c>
      <c r="B28" s="10"/>
      <c r="C28" s="10"/>
      <c r="D28" s="10" t="s">
        <v>242</v>
      </c>
      <c r="E28" s="6">
        <v>0</v>
      </c>
      <c r="F28" s="6">
        <v>-4000</v>
      </c>
      <c r="G28" s="6">
        <v>-4522.8999999999996</v>
      </c>
      <c r="H28" s="6">
        <v>-5752.9</v>
      </c>
      <c r="I28" s="6">
        <v>-2500</v>
      </c>
      <c r="J28" t="s">
        <v>366</v>
      </c>
      <c r="K28" t="s">
        <v>432</v>
      </c>
    </row>
    <row r="29" spans="1:11" ht="15.75" x14ac:dyDescent="0.25">
      <c r="A29" s="10" t="s">
        <v>97</v>
      </c>
      <c r="B29" s="10"/>
      <c r="C29" s="10"/>
      <c r="D29" s="10" t="s">
        <v>242</v>
      </c>
      <c r="E29" s="6">
        <v>0</v>
      </c>
      <c r="F29" s="6">
        <v>0</v>
      </c>
      <c r="G29" s="6">
        <v>0</v>
      </c>
      <c r="H29" s="6">
        <v>0</v>
      </c>
      <c r="I29" s="6">
        <v>-8000</v>
      </c>
      <c r="J29" t="s">
        <v>270</v>
      </c>
    </row>
    <row r="30" spans="1:11" ht="15.75" x14ac:dyDescent="0.25">
      <c r="A30" s="10"/>
      <c r="B30" s="9" t="s">
        <v>38</v>
      </c>
      <c r="C30" s="10"/>
      <c r="D30" s="10"/>
      <c r="E30" s="7">
        <f>SUM(E23:E29)</f>
        <v>-52095.28</v>
      </c>
      <c r="F30" s="7">
        <f>SUM(F23:F29)</f>
        <v>-33500</v>
      </c>
      <c r="G30" s="7">
        <f>SUM(G23:G29)</f>
        <v>-31454.400000000001</v>
      </c>
      <c r="H30" s="7">
        <f>SUM(H23:H29)</f>
        <v>-32684.400000000001</v>
      </c>
      <c r="I30" s="7">
        <f>SUM(I23:I29)</f>
        <v>-60000</v>
      </c>
    </row>
    <row r="31" spans="1:11" ht="15.75" x14ac:dyDescent="0.25">
      <c r="A31" s="14" t="s">
        <v>150</v>
      </c>
      <c r="B31" s="14"/>
      <c r="C31" s="14"/>
      <c r="D31" s="14"/>
      <c r="E31" s="16">
        <f>E30</f>
        <v>-52095.28</v>
      </c>
      <c r="F31" s="16">
        <f>F30</f>
        <v>-33500</v>
      </c>
      <c r="G31" s="16">
        <f>G30</f>
        <v>-31454.400000000001</v>
      </c>
      <c r="H31" s="16">
        <f>H30</f>
        <v>-32684.400000000001</v>
      </c>
      <c r="I31" s="16">
        <f>I30</f>
        <v>-60000</v>
      </c>
    </row>
    <row r="32" spans="1:11" ht="15.75" x14ac:dyDescent="0.25">
      <c r="A32" s="10"/>
      <c r="B32" s="10"/>
      <c r="C32" s="10"/>
      <c r="D32" s="10"/>
      <c r="E32" s="8"/>
      <c r="F32" s="8"/>
      <c r="G32" s="8"/>
      <c r="H32" s="8"/>
      <c r="I32" s="8"/>
    </row>
    <row r="33" spans="1:11" ht="33" x14ac:dyDescent="0.35">
      <c r="A33" s="49" t="s">
        <v>98</v>
      </c>
      <c r="B33" s="10"/>
      <c r="C33" s="10"/>
      <c r="D33" s="46" t="s">
        <v>240</v>
      </c>
      <c r="E33" s="24" t="s">
        <v>121</v>
      </c>
      <c r="F33" s="24" t="s">
        <v>123</v>
      </c>
      <c r="G33" s="24" t="s">
        <v>156</v>
      </c>
      <c r="H33" s="24" t="s">
        <v>122</v>
      </c>
      <c r="I33" s="24" t="s">
        <v>124</v>
      </c>
    </row>
    <row r="34" spans="1:11" ht="15.75" x14ac:dyDescent="0.25">
      <c r="A34" s="10" t="s">
        <v>118</v>
      </c>
      <c r="B34" s="10"/>
      <c r="C34" s="10"/>
      <c r="D34" t="s">
        <v>247</v>
      </c>
      <c r="E34" s="6">
        <v>-404.65</v>
      </c>
      <c r="F34" s="6">
        <v>-500</v>
      </c>
      <c r="G34" s="6">
        <v>-124.21</v>
      </c>
      <c r="H34" s="6">
        <v>-415.41</v>
      </c>
      <c r="I34" s="6">
        <v>-500</v>
      </c>
      <c r="J34" t="s">
        <v>367</v>
      </c>
    </row>
    <row r="35" spans="1:11" ht="15.75" x14ac:dyDescent="0.25">
      <c r="A35" s="10"/>
      <c r="B35" s="9" t="s">
        <v>38</v>
      </c>
      <c r="C35" s="10"/>
      <c r="D35" s="10"/>
      <c r="E35" s="7">
        <f>SUM(E34)</f>
        <v>-404.65</v>
      </c>
      <c r="F35" s="7">
        <f>SUM(F34)</f>
        <v>-500</v>
      </c>
      <c r="G35" s="7">
        <f>SUM(G34)</f>
        <v>-124.21</v>
      </c>
      <c r="H35" s="7">
        <f>SUM(H34)</f>
        <v>-415.41</v>
      </c>
      <c r="I35" s="7">
        <f>SUM(I34)</f>
        <v>-500</v>
      </c>
    </row>
    <row r="36" spans="1:11" ht="15.75" x14ac:dyDescent="0.25">
      <c r="A36" s="10" t="s">
        <v>23</v>
      </c>
      <c r="B36" s="10"/>
      <c r="C36" s="10"/>
      <c r="D36" s="52" t="s">
        <v>248</v>
      </c>
      <c r="E36" s="6">
        <v>18746.73</v>
      </c>
      <c r="F36" s="6">
        <v>25000</v>
      </c>
      <c r="G36" s="6">
        <v>10137.450000000001</v>
      </c>
      <c r="H36" s="6">
        <v>17985.7</v>
      </c>
      <c r="I36" s="6">
        <v>5000</v>
      </c>
      <c r="J36" t="s">
        <v>397</v>
      </c>
    </row>
    <row r="37" spans="1:11" ht="15.75" x14ac:dyDescent="0.25">
      <c r="A37" s="10"/>
      <c r="B37" s="9" t="s">
        <v>3</v>
      </c>
      <c r="C37" s="10"/>
      <c r="D37" s="10"/>
      <c r="E37" s="7">
        <f>SUM(E36)</f>
        <v>18746.73</v>
      </c>
      <c r="F37" s="7">
        <f>SUM(F36)</f>
        <v>25000</v>
      </c>
      <c r="G37" s="7">
        <f>SUM(G36)</f>
        <v>10137.450000000001</v>
      </c>
      <c r="H37" s="7">
        <f>SUM(H36)</f>
        <v>17985.7</v>
      </c>
      <c r="I37" s="7">
        <f>SUM(I36)</f>
        <v>5000</v>
      </c>
    </row>
    <row r="38" spans="1:11" ht="15.75" x14ac:dyDescent="0.25">
      <c r="A38" s="14" t="s">
        <v>151</v>
      </c>
      <c r="B38" s="17"/>
      <c r="C38" s="14"/>
      <c r="D38" s="14"/>
      <c r="E38" s="16">
        <f>E37-E35</f>
        <v>19151.38</v>
      </c>
      <c r="F38" s="16">
        <f>F37-F35</f>
        <v>25500</v>
      </c>
      <c r="G38" s="16">
        <f>G37-G35</f>
        <v>10261.66</v>
      </c>
      <c r="H38" s="16">
        <f>H37-H35</f>
        <v>18401.11</v>
      </c>
      <c r="I38" s="16">
        <f>I35+I37</f>
        <v>4500</v>
      </c>
    </row>
    <row r="40" spans="1:11" x14ac:dyDescent="0.25">
      <c r="A40" s="7" t="s">
        <v>38</v>
      </c>
      <c r="E40" s="6">
        <f>E6+E16+E30+E35</f>
        <v>-142126.99</v>
      </c>
      <c r="F40" s="6">
        <f>F6+F16+F30+F35</f>
        <v>-68500</v>
      </c>
      <c r="G40" s="6">
        <f>G6+G16+G30+G35</f>
        <v>-33129.58</v>
      </c>
      <c r="H40" s="6">
        <f>H6+H16+H30+H35</f>
        <v>-46403.780000000006</v>
      </c>
      <c r="I40" s="6">
        <f>I6+I16+I30+I35</f>
        <v>-76050</v>
      </c>
    </row>
    <row r="41" spans="1:11" x14ac:dyDescent="0.25">
      <c r="A41" s="7" t="s">
        <v>3</v>
      </c>
      <c r="E41" s="6">
        <f>E8+E19+E30+E37</f>
        <v>91897.3</v>
      </c>
      <c r="F41" s="6">
        <f>F8+F19+F30+F37</f>
        <v>-2460</v>
      </c>
      <c r="G41" s="6">
        <f>G8+G19+G30+G37</f>
        <v>-20281.580000000002</v>
      </c>
      <c r="H41" s="6">
        <f>H8+H19+H30+H37</f>
        <v>-13643.32</v>
      </c>
      <c r="I41" s="6">
        <f>I37+I19+I8</f>
        <v>6060</v>
      </c>
    </row>
    <row r="42" spans="1:11" ht="15.75" x14ac:dyDescent="0.25">
      <c r="A42" s="14" t="s">
        <v>226</v>
      </c>
      <c r="B42" s="14"/>
      <c r="C42" s="14"/>
      <c r="D42" s="14"/>
      <c r="E42" s="16">
        <f>E40+E41</f>
        <v>-50229.689999999988</v>
      </c>
      <c r="F42" s="16">
        <f t="shared" ref="F42:I42" si="1">F40+F41</f>
        <v>-70960</v>
      </c>
      <c r="G42" s="16">
        <f t="shared" si="1"/>
        <v>-53411.16</v>
      </c>
      <c r="H42" s="16">
        <f t="shared" si="1"/>
        <v>-60047.100000000006</v>
      </c>
      <c r="I42" s="16">
        <f t="shared" si="1"/>
        <v>-69990</v>
      </c>
    </row>
    <row r="44" spans="1:11" ht="57" x14ac:dyDescent="0.45">
      <c r="A44" s="31" t="s">
        <v>236</v>
      </c>
      <c r="B44" s="4" t="s">
        <v>244</v>
      </c>
    </row>
    <row r="45" spans="1:11" ht="63.75" x14ac:dyDescent="0.3">
      <c r="A45" s="4" t="s">
        <v>127</v>
      </c>
      <c r="B45" s="10"/>
      <c r="C45" s="10"/>
      <c r="D45" s="46" t="s">
        <v>240</v>
      </c>
      <c r="E45" s="24" t="s">
        <v>121</v>
      </c>
      <c r="F45" s="24" t="s">
        <v>123</v>
      </c>
      <c r="G45" s="24" t="s">
        <v>156</v>
      </c>
      <c r="H45" s="24" t="s">
        <v>122</v>
      </c>
      <c r="I45" s="24" t="s">
        <v>215</v>
      </c>
      <c r="J45" s="24" t="s">
        <v>422</v>
      </c>
      <c r="K45" s="24" t="s">
        <v>421</v>
      </c>
    </row>
    <row r="46" spans="1:11" ht="15.75" x14ac:dyDescent="0.25">
      <c r="A46" s="18" t="s">
        <v>199</v>
      </c>
      <c r="B46" s="10"/>
      <c r="C46" s="10"/>
      <c r="D46" s="52" t="s">
        <v>248</v>
      </c>
      <c r="E46" s="8"/>
      <c r="F46" s="19">
        <v>2125.34</v>
      </c>
      <c r="G46" s="20">
        <v>1362.03</v>
      </c>
      <c r="H46" s="8">
        <v>2393.85</v>
      </c>
      <c r="I46" s="53">
        <f>F46-H46</f>
        <v>-268.50999999999976</v>
      </c>
      <c r="J46" t="s">
        <v>368</v>
      </c>
      <c r="K46" s="55" t="s">
        <v>417</v>
      </c>
    </row>
    <row r="47" spans="1:11" ht="15.75" x14ac:dyDescent="0.25">
      <c r="A47" s="18" t="s">
        <v>198</v>
      </c>
      <c r="B47" s="10"/>
      <c r="C47" s="10"/>
      <c r="D47" s="52" t="s">
        <v>248</v>
      </c>
      <c r="E47" s="8"/>
      <c r="F47" s="19">
        <v>1962</v>
      </c>
      <c r="G47" s="20">
        <v>1690.6</v>
      </c>
      <c r="H47" s="8">
        <v>2995.6</v>
      </c>
      <c r="I47" s="53">
        <f>F47-H47</f>
        <v>-1033.5999999999999</v>
      </c>
      <c r="J47" t="s">
        <v>369</v>
      </c>
      <c r="K47" s="55" t="s">
        <v>417</v>
      </c>
    </row>
    <row r="48" spans="1:11" ht="15.75" x14ac:dyDescent="0.25">
      <c r="A48" s="10" t="s">
        <v>173</v>
      </c>
      <c r="B48" s="21"/>
      <c r="C48" s="21"/>
      <c r="D48" s="52" t="s">
        <v>248</v>
      </c>
      <c r="E48" s="8"/>
      <c r="F48" s="8">
        <v>38286</v>
      </c>
      <c r="G48" s="8">
        <v>0</v>
      </c>
      <c r="H48" s="8">
        <v>0</v>
      </c>
      <c r="I48" s="8">
        <v>38286</v>
      </c>
      <c r="K48" t="s">
        <v>370</v>
      </c>
    </row>
    <row r="49" spans="1:11" ht="15.75" x14ac:dyDescent="0.25">
      <c r="A49" s="22" t="s">
        <v>157</v>
      </c>
      <c r="B49" s="22"/>
      <c r="C49" s="22"/>
      <c r="D49" s="22"/>
      <c r="E49" s="26">
        <f>SUM(E46:E48)</f>
        <v>0</v>
      </c>
      <c r="F49" s="26">
        <f>SUM(F46:F48)</f>
        <v>42373.34</v>
      </c>
      <c r="G49" s="26">
        <f>SUM(G46:G48)</f>
        <v>3052.63</v>
      </c>
      <c r="H49" s="26">
        <f>SUM(H46:H48)</f>
        <v>5389.45</v>
      </c>
      <c r="I49" s="26">
        <f>SUM(I46:I48)</f>
        <v>36983.89</v>
      </c>
    </row>
    <row r="50" spans="1:11" ht="57" x14ac:dyDescent="0.45">
      <c r="A50" s="31" t="s">
        <v>235</v>
      </c>
      <c r="B50" s="4" t="s">
        <v>243</v>
      </c>
      <c r="C50" s="21"/>
      <c r="D50" s="21"/>
      <c r="E50" s="8"/>
      <c r="F50" s="8"/>
      <c r="G50" s="8"/>
      <c r="H50" s="8"/>
      <c r="I50" s="8"/>
    </row>
    <row r="51" spans="1:11" ht="63" x14ac:dyDescent="0.25">
      <c r="B51" s="21"/>
      <c r="C51" s="21"/>
      <c r="D51" s="46" t="s">
        <v>240</v>
      </c>
      <c r="E51" s="24" t="s">
        <v>121</v>
      </c>
      <c r="F51" s="24" t="s">
        <v>123</v>
      </c>
      <c r="G51" s="24" t="s">
        <v>156</v>
      </c>
      <c r="H51" s="24" t="s">
        <v>122</v>
      </c>
      <c r="I51" s="24" t="s">
        <v>215</v>
      </c>
      <c r="J51" s="24" t="s">
        <v>422</v>
      </c>
      <c r="K51" s="24" t="s">
        <v>421</v>
      </c>
    </row>
    <row r="52" spans="1:11" ht="15.75" x14ac:dyDescent="0.25">
      <c r="A52" s="18" t="s">
        <v>158</v>
      </c>
      <c r="B52" s="10"/>
      <c r="C52" s="10"/>
      <c r="D52" s="10" t="s">
        <v>241</v>
      </c>
      <c r="E52" s="8"/>
      <c r="F52" s="19">
        <v>10000</v>
      </c>
      <c r="G52" s="20">
        <v>0</v>
      </c>
      <c r="H52" s="8">
        <v>6876.96</v>
      </c>
      <c r="I52" s="8">
        <f>F52-H52</f>
        <v>3123.04</v>
      </c>
      <c r="J52" t="s">
        <v>371</v>
      </c>
    </row>
    <row r="53" spans="1:11" ht="15.75" x14ac:dyDescent="0.25">
      <c r="A53" s="22"/>
      <c r="B53" s="22"/>
      <c r="C53" s="22"/>
      <c r="D53" s="22"/>
      <c r="E53" s="26">
        <f t="shared" ref="E53:H53" si="2">E52</f>
        <v>0</v>
      </c>
      <c r="F53" s="26">
        <f t="shared" si="2"/>
        <v>10000</v>
      </c>
      <c r="G53" s="26">
        <f t="shared" si="2"/>
        <v>0</v>
      </c>
      <c r="H53" s="26">
        <f t="shared" si="2"/>
        <v>6876.96</v>
      </c>
      <c r="I53" s="26">
        <f>I52</f>
        <v>3123.04</v>
      </c>
    </row>
    <row r="54" spans="1:11" ht="15.75" x14ac:dyDescent="0.25">
      <c r="B54" s="21"/>
      <c r="C54" s="21"/>
      <c r="D54" s="21"/>
      <c r="E54" s="8"/>
      <c r="F54" s="8"/>
      <c r="G54" s="8"/>
      <c r="H54" s="8"/>
      <c r="I54" s="8"/>
    </row>
    <row r="55" spans="1:11" ht="15.75" x14ac:dyDescent="0.25">
      <c r="B55" s="21"/>
      <c r="C55" s="21"/>
      <c r="D55" s="21"/>
      <c r="E55" s="8"/>
      <c r="F55" s="8"/>
      <c r="G55" s="8"/>
      <c r="H55" s="8"/>
      <c r="I55" s="8"/>
    </row>
    <row r="56" spans="1:11" ht="15.75" x14ac:dyDescent="0.25">
      <c r="B56" s="21"/>
      <c r="C56" s="21"/>
      <c r="D56" s="21"/>
      <c r="E56" s="8"/>
      <c r="F56" s="8"/>
      <c r="G56" s="8"/>
      <c r="H56" s="8"/>
      <c r="I56" s="8"/>
    </row>
    <row r="61" spans="1:11" x14ac:dyDescent="0.25">
      <c r="G61"/>
      <c r="H61"/>
      <c r="I61"/>
    </row>
  </sheetData>
  <sheetProtection algorithmName="SHA-512" hashValue="rD3+cskrA3FTmrANDXVZhukRi6WcjC4BIoab2XEIYXTT/Lo3Dv5lNkpT548FBVs+mDkdfSdj509zX2mo34Zbzw==" saltValue="Lj89P+UYSTOJNHc0kJ8WWQ==" spinCount="100000" sheet="1" formatCells="0" formatColumns="0" formatRows="0" insertColumns="0" insertRows="0" insertHyperlinks="0" deleteColumns="0" deleteRows="0" sort="0" autoFilter="0" pivotTables="0"/>
  <phoneticPr fontId="16" type="noConversion"/>
  <pageMargins left="0.7" right="0.7" top="0.75" bottom="0.75" header="0.3" footer="0.3"/>
  <pageSetup paperSize="9" scale="6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B1AAA-911A-40DA-8DA0-68CFAD14010B}">
  <sheetPr>
    <pageSetUpPr fitToPage="1"/>
  </sheetPr>
  <dimension ref="A1:N37"/>
  <sheetViews>
    <sheetView topLeftCell="A3" workbookViewId="0">
      <selection activeCell="N33" sqref="N33"/>
    </sheetView>
  </sheetViews>
  <sheetFormatPr defaultColWidth="8.7109375" defaultRowHeight="15" x14ac:dyDescent="0.25"/>
  <cols>
    <col min="1" max="1" width="26.42578125" customWidth="1"/>
    <col min="5" max="7" width="0" hidden="1" customWidth="1"/>
    <col min="8" max="8" width="15.42578125" style="6" customWidth="1"/>
    <col min="9" max="9" width="15.7109375" style="6" customWidth="1"/>
    <col min="10" max="10" width="15" style="6" customWidth="1"/>
    <col min="11" max="11" width="15.7109375" style="6" customWidth="1"/>
    <col min="12" max="12" width="16.28515625" style="6" customWidth="1"/>
    <col min="13" max="13" width="20.7109375" customWidth="1"/>
    <col min="14" max="14" width="26" customWidth="1"/>
  </cols>
  <sheetData>
    <row r="1" spans="1:14" ht="24" x14ac:dyDescent="0.4">
      <c r="A1" s="5" t="s">
        <v>127</v>
      </c>
    </row>
    <row r="2" spans="1:14" ht="24" x14ac:dyDescent="0.4">
      <c r="A2" s="23" t="s">
        <v>24</v>
      </c>
      <c r="B2" s="9"/>
      <c r="C2" s="10"/>
      <c r="D2" s="10"/>
      <c r="E2" s="10"/>
      <c r="F2" s="10"/>
      <c r="G2" s="8"/>
      <c r="H2" s="8"/>
      <c r="I2" s="8"/>
      <c r="J2" s="8"/>
      <c r="K2" s="8"/>
      <c r="L2" s="8"/>
    </row>
    <row r="3" spans="1:14" ht="32.25" x14ac:dyDescent="0.3">
      <c r="A3" s="4" t="s">
        <v>99</v>
      </c>
      <c r="B3" s="10"/>
      <c r="C3" s="10"/>
      <c r="D3" s="46" t="s">
        <v>240</v>
      </c>
      <c r="E3" s="10"/>
      <c r="F3" s="10"/>
      <c r="G3" s="8"/>
      <c r="H3" s="24" t="s">
        <v>121</v>
      </c>
      <c r="I3" s="24" t="s">
        <v>123</v>
      </c>
      <c r="J3" s="24" t="s">
        <v>156</v>
      </c>
      <c r="K3" s="24" t="s">
        <v>122</v>
      </c>
      <c r="L3" s="24" t="s">
        <v>124</v>
      </c>
      <c r="M3" s="24" t="s">
        <v>422</v>
      </c>
      <c r="N3" s="24" t="s">
        <v>421</v>
      </c>
    </row>
    <row r="4" spans="1:14" ht="15.75" x14ac:dyDescent="0.25">
      <c r="A4" s="10" t="s">
        <v>101</v>
      </c>
      <c r="B4" s="10"/>
      <c r="C4" s="10"/>
      <c r="D4" s="10" t="s">
        <v>245</v>
      </c>
      <c r="E4" s="10"/>
      <c r="F4" s="10"/>
      <c r="G4" s="8"/>
      <c r="H4" s="6">
        <v>-174826.68</v>
      </c>
      <c r="I4" s="6">
        <v>-280000</v>
      </c>
      <c r="J4" s="6">
        <v>-102754.92</v>
      </c>
      <c r="K4" s="6">
        <v>-245543.74</v>
      </c>
      <c r="L4" s="6">
        <v>-300000</v>
      </c>
      <c r="M4" t="s">
        <v>374</v>
      </c>
    </row>
    <row r="5" spans="1:14" ht="15.75" x14ac:dyDescent="0.25">
      <c r="A5" s="10" t="s">
        <v>102</v>
      </c>
      <c r="B5" s="10"/>
      <c r="C5" s="10"/>
      <c r="D5" s="10" t="s">
        <v>245</v>
      </c>
      <c r="E5" s="10"/>
      <c r="F5" s="10"/>
      <c r="G5" s="8"/>
      <c r="H5" s="6">
        <v>-45745.37</v>
      </c>
      <c r="I5" s="6">
        <v>-36500</v>
      </c>
      <c r="J5" s="6">
        <v>-31529.56</v>
      </c>
      <c r="K5" s="6">
        <v>-39881.75</v>
      </c>
      <c r="L5" s="6">
        <v>-45000</v>
      </c>
      <c r="M5" t="s">
        <v>375</v>
      </c>
      <c r="N5" s="58" t="s">
        <v>429</v>
      </c>
    </row>
    <row r="6" spans="1:14" ht="15.75" x14ac:dyDescent="0.25">
      <c r="A6" s="10" t="s">
        <v>103</v>
      </c>
      <c r="B6" s="10"/>
      <c r="C6" s="10"/>
      <c r="D6" s="10" t="s">
        <v>245</v>
      </c>
      <c r="E6" s="10"/>
      <c r="F6" s="10"/>
      <c r="G6" s="8"/>
      <c r="H6" s="6">
        <v>-58464.27</v>
      </c>
      <c r="I6" s="6">
        <v>-71000</v>
      </c>
      <c r="J6" s="6">
        <v>-39881.75</v>
      </c>
      <c r="K6" s="6">
        <v>-77324.639999999999</v>
      </c>
      <c r="L6" s="6">
        <v>-80000</v>
      </c>
      <c r="M6" t="s">
        <v>376</v>
      </c>
      <c r="N6" s="58" t="s">
        <v>430</v>
      </c>
    </row>
    <row r="7" spans="1:14" ht="15.75" x14ac:dyDescent="0.25">
      <c r="A7" s="10" t="s">
        <v>377</v>
      </c>
      <c r="B7" s="10"/>
      <c r="C7" s="10"/>
      <c r="D7" s="10" t="s">
        <v>242</v>
      </c>
      <c r="E7" s="10"/>
      <c r="F7" s="10"/>
      <c r="G7" s="8"/>
      <c r="H7" s="6">
        <v>0</v>
      </c>
      <c r="I7" s="6">
        <v>0</v>
      </c>
      <c r="J7" s="6">
        <v>0</v>
      </c>
      <c r="K7" s="6">
        <v>0</v>
      </c>
      <c r="L7" s="6">
        <v>-5500</v>
      </c>
      <c r="M7" t="s">
        <v>270</v>
      </c>
    </row>
    <row r="8" spans="1:14" ht="15.75" x14ac:dyDescent="0.25">
      <c r="A8" s="10" t="s">
        <v>104</v>
      </c>
      <c r="B8" s="10"/>
      <c r="C8" s="10"/>
      <c r="D8" s="10" t="s">
        <v>242</v>
      </c>
      <c r="E8" s="10"/>
      <c r="F8" s="10"/>
      <c r="G8" s="8"/>
      <c r="H8" s="6">
        <v>0</v>
      </c>
      <c r="I8" s="6">
        <v>0</v>
      </c>
      <c r="J8" s="6">
        <v>0</v>
      </c>
      <c r="K8" s="6">
        <v>0</v>
      </c>
      <c r="L8" s="6">
        <v>-1000</v>
      </c>
      <c r="M8" t="s">
        <v>270</v>
      </c>
      <c r="N8" s="6"/>
    </row>
    <row r="9" spans="1:14" ht="15.75" x14ac:dyDescent="0.25">
      <c r="A9" s="10" t="s">
        <v>115</v>
      </c>
      <c r="B9" s="10"/>
      <c r="C9" s="10"/>
      <c r="D9" s="10" t="s">
        <v>242</v>
      </c>
      <c r="E9" s="10"/>
      <c r="F9" s="10"/>
      <c r="G9" s="8"/>
      <c r="H9" s="6">
        <v>-19.989999999999998</v>
      </c>
      <c r="I9" s="6">
        <v>-500</v>
      </c>
      <c r="J9" s="6">
        <v>-19.489999999999998</v>
      </c>
      <c r="K9" s="57">
        <v>-719.49</v>
      </c>
      <c r="L9" s="6">
        <v>-500</v>
      </c>
      <c r="M9" t="s">
        <v>378</v>
      </c>
      <c r="N9" t="s">
        <v>431</v>
      </c>
    </row>
    <row r="10" spans="1:14" ht="15.75" x14ac:dyDescent="0.25">
      <c r="A10" s="10"/>
      <c r="B10" s="9" t="s">
        <v>38</v>
      </c>
      <c r="C10" s="10"/>
      <c r="D10" s="10"/>
      <c r="E10" s="10"/>
      <c r="F10" s="10"/>
      <c r="G10" s="8"/>
      <c r="H10" s="7">
        <f>SUM(H4:H9)</f>
        <v>-279056.31</v>
      </c>
      <c r="I10" s="7">
        <f>SUM(I4:I9)</f>
        <v>-388000</v>
      </c>
      <c r="J10" s="7">
        <f>SUM(J4:J9)</f>
        <v>-174185.72</v>
      </c>
      <c r="K10" s="7">
        <f>SUM(K4:K9)</f>
        <v>-363469.62</v>
      </c>
      <c r="L10" s="7">
        <f>SUM(L4:L9)</f>
        <v>-432000</v>
      </c>
    </row>
    <row r="11" spans="1:14" ht="15.75" x14ac:dyDescent="0.25">
      <c r="A11" s="14" t="s">
        <v>152</v>
      </c>
      <c r="B11" s="14"/>
      <c r="C11" s="14"/>
      <c r="D11" s="14"/>
      <c r="E11" s="14"/>
      <c r="F11" s="14"/>
      <c r="G11" s="16"/>
      <c r="H11" s="16">
        <f>H10</f>
        <v>-279056.31</v>
      </c>
      <c r="I11" s="16">
        <f t="shared" ref="I11:L11" si="0">I10</f>
        <v>-388000</v>
      </c>
      <c r="J11" s="16">
        <f t="shared" si="0"/>
        <v>-174185.72</v>
      </c>
      <c r="K11" s="16">
        <f t="shared" si="0"/>
        <v>-363469.62</v>
      </c>
      <c r="L11" s="16">
        <f t="shared" si="0"/>
        <v>-432000</v>
      </c>
    </row>
    <row r="12" spans="1:14" ht="15.75" x14ac:dyDescent="0.25">
      <c r="A12" s="10"/>
      <c r="B12" s="10"/>
      <c r="C12" s="10"/>
      <c r="D12" s="10"/>
      <c r="E12" s="10"/>
      <c r="F12" s="10"/>
      <c r="G12" s="8"/>
      <c r="H12" s="8"/>
      <c r="I12" s="8"/>
      <c r="J12" s="8"/>
      <c r="K12" s="8"/>
      <c r="L12" s="8"/>
    </row>
    <row r="13" spans="1:14" ht="32.25" x14ac:dyDescent="0.3">
      <c r="A13" s="50" t="s">
        <v>100</v>
      </c>
      <c r="B13" s="10"/>
      <c r="C13" s="10"/>
      <c r="D13" s="46" t="s">
        <v>240</v>
      </c>
      <c r="E13" s="10"/>
      <c r="F13" s="10"/>
      <c r="G13" s="8"/>
      <c r="H13" s="24" t="s">
        <v>121</v>
      </c>
      <c r="I13" s="24" t="s">
        <v>123</v>
      </c>
      <c r="J13" s="24" t="s">
        <v>156</v>
      </c>
      <c r="K13" s="24" t="s">
        <v>122</v>
      </c>
      <c r="L13" s="24" t="s">
        <v>124</v>
      </c>
      <c r="M13" s="24" t="s">
        <v>422</v>
      </c>
      <c r="N13" s="24" t="s">
        <v>421</v>
      </c>
    </row>
    <row r="14" spans="1:14" ht="15.75" x14ac:dyDescent="0.25">
      <c r="A14" s="10" t="s">
        <v>105</v>
      </c>
      <c r="B14" s="10"/>
      <c r="C14" s="10"/>
      <c r="D14" s="10" t="s">
        <v>242</v>
      </c>
      <c r="E14" s="10"/>
      <c r="F14" s="10"/>
      <c r="G14" s="8"/>
      <c r="H14" s="6">
        <v>-2469.12</v>
      </c>
      <c r="I14" s="6">
        <v>-2000</v>
      </c>
      <c r="J14" s="6">
        <v>-1391.72</v>
      </c>
      <c r="K14" s="6">
        <v>-1860.1</v>
      </c>
      <c r="L14" s="6">
        <v>-5000</v>
      </c>
      <c r="M14" t="s">
        <v>379</v>
      </c>
      <c r="N14" t="s">
        <v>434</v>
      </c>
    </row>
    <row r="15" spans="1:14" ht="15.75" x14ac:dyDescent="0.25">
      <c r="A15" s="10" t="s">
        <v>106</v>
      </c>
      <c r="B15" s="10"/>
      <c r="C15" s="10"/>
      <c r="D15" s="10" t="s">
        <v>242</v>
      </c>
      <c r="E15" s="10"/>
      <c r="F15" s="10"/>
      <c r="G15" s="8"/>
      <c r="H15" s="6">
        <v>-1059.28</v>
      </c>
      <c r="I15" s="6">
        <v>-1000</v>
      </c>
      <c r="J15" s="6">
        <v>-259.69</v>
      </c>
      <c r="K15" s="6">
        <v>-891.39</v>
      </c>
      <c r="L15" s="6">
        <v>-1000</v>
      </c>
      <c r="M15" t="s">
        <v>380</v>
      </c>
    </row>
    <row r="16" spans="1:14" ht="15.75" x14ac:dyDescent="0.25">
      <c r="A16" s="10" t="s">
        <v>107</v>
      </c>
      <c r="B16" s="10"/>
      <c r="C16" s="10"/>
      <c r="D16" s="10" t="s">
        <v>242</v>
      </c>
      <c r="E16" s="10"/>
      <c r="F16" s="10"/>
      <c r="G16" s="8"/>
      <c r="H16" s="6">
        <v>-6086.03</v>
      </c>
      <c r="I16" s="6">
        <v>-5500</v>
      </c>
      <c r="J16" s="6">
        <v>-4281.6499999999996</v>
      </c>
      <c r="K16" s="6">
        <v>-6556.85</v>
      </c>
      <c r="L16" s="6">
        <v>-7000</v>
      </c>
      <c r="M16" t="s">
        <v>381</v>
      </c>
    </row>
    <row r="17" spans="1:14" ht="15.75" x14ac:dyDescent="0.25">
      <c r="A17" s="10" t="s">
        <v>108</v>
      </c>
      <c r="B17" s="10"/>
      <c r="C17" s="10"/>
      <c r="D17" s="10" t="s">
        <v>242</v>
      </c>
      <c r="E17" s="10"/>
      <c r="F17" s="10"/>
      <c r="G17" s="8"/>
      <c r="H17" s="6">
        <v>-528.39</v>
      </c>
      <c r="I17" s="6">
        <v>-500</v>
      </c>
      <c r="J17" s="6">
        <v>-290.14999999999998</v>
      </c>
      <c r="K17" s="6">
        <v>-543.57000000000005</v>
      </c>
      <c r="L17" s="6">
        <v>-600</v>
      </c>
      <c r="M17" t="s">
        <v>382</v>
      </c>
    </row>
    <row r="18" spans="1:14" ht="15.75" x14ac:dyDescent="0.25">
      <c r="A18" s="10" t="s">
        <v>109</v>
      </c>
      <c r="B18" s="10"/>
      <c r="C18" s="10"/>
      <c r="D18" s="10" t="s">
        <v>242</v>
      </c>
      <c r="E18" s="10"/>
      <c r="F18" s="10"/>
      <c r="G18" s="8"/>
      <c r="H18" s="6">
        <v>-1355.16</v>
      </c>
      <c r="I18" s="6">
        <v>-1000</v>
      </c>
      <c r="J18" s="6">
        <v>-209.69</v>
      </c>
      <c r="K18" s="6">
        <v>-209.69</v>
      </c>
      <c r="L18" s="6">
        <v>-1000</v>
      </c>
      <c r="M18" t="s">
        <v>383</v>
      </c>
    </row>
    <row r="19" spans="1:14" ht="15.75" x14ac:dyDescent="0.25">
      <c r="A19" s="10" t="s">
        <v>110</v>
      </c>
      <c r="B19" s="10"/>
      <c r="C19" s="10"/>
      <c r="D19" s="10" t="s">
        <v>242</v>
      </c>
      <c r="E19" s="10"/>
      <c r="F19" s="10"/>
      <c r="G19" s="8"/>
      <c r="H19" s="6">
        <v>-32.06</v>
      </c>
      <c r="I19" s="6">
        <v>-4000</v>
      </c>
      <c r="J19" s="6">
        <v>-756.2</v>
      </c>
      <c r="K19" s="6">
        <v>-756.2</v>
      </c>
      <c r="L19" s="6">
        <v>-1000</v>
      </c>
      <c r="M19" t="s">
        <v>384</v>
      </c>
    </row>
    <row r="20" spans="1:14" ht="15.75" x14ac:dyDescent="0.25">
      <c r="A20" s="10" t="s">
        <v>112</v>
      </c>
      <c r="B20" s="10"/>
      <c r="C20" s="10"/>
      <c r="D20" s="10" t="s">
        <v>242</v>
      </c>
      <c r="E20" s="10"/>
      <c r="F20" s="10"/>
      <c r="G20" s="8"/>
      <c r="H20" s="6">
        <v>-291.88</v>
      </c>
      <c r="I20" s="6">
        <v>-10000</v>
      </c>
      <c r="J20" s="6">
        <v>-306.88</v>
      </c>
      <c r="K20" s="6">
        <v>-3201.88</v>
      </c>
      <c r="L20" s="6">
        <v>-1000</v>
      </c>
      <c r="M20" t="s">
        <v>385</v>
      </c>
    </row>
    <row r="21" spans="1:14" ht="60" x14ac:dyDescent="0.25">
      <c r="A21" s="10" t="s">
        <v>113</v>
      </c>
      <c r="B21" s="10"/>
      <c r="C21" s="10"/>
      <c r="D21" s="10" t="s">
        <v>242</v>
      </c>
      <c r="E21" s="10"/>
      <c r="F21" s="10"/>
      <c r="G21" s="8"/>
      <c r="H21" s="6">
        <v>-1019</v>
      </c>
      <c r="I21" s="6">
        <v>-1500</v>
      </c>
      <c r="J21" s="6">
        <v>-1045</v>
      </c>
      <c r="K21" s="6">
        <v>-1045</v>
      </c>
      <c r="L21" s="6">
        <v>-4000</v>
      </c>
      <c r="M21" t="s">
        <v>386</v>
      </c>
      <c r="N21" s="34" t="s">
        <v>428</v>
      </c>
    </row>
    <row r="22" spans="1:14" ht="15.75" x14ac:dyDescent="0.25">
      <c r="A22" s="10" t="s">
        <v>114</v>
      </c>
      <c r="B22" s="10"/>
      <c r="C22" s="10"/>
      <c r="D22" s="10" t="s">
        <v>242</v>
      </c>
      <c r="E22" s="10"/>
      <c r="F22" s="10"/>
      <c r="G22" s="8"/>
      <c r="H22" s="6">
        <v>-379.91</v>
      </c>
      <c r="I22" s="6">
        <v>0</v>
      </c>
      <c r="J22" s="6">
        <v>0</v>
      </c>
      <c r="K22" s="6">
        <v>0</v>
      </c>
      <c r="L22" s="6">
        <v>0</v>
      </c>
      <c r="M22" t="s">
        <v>270</v>
      </c>
    </row>
    <row r="23" spans="1:14" ht="15.75" x14ac:dyDescent="0.25">
      <c r="A23" s="10" t="s">
        <v>116</v>
      </c>
      <c r="B23" s="10"/>
      <c r="C23" s="10"/>
      <c r="D23" s="10" t="s">
        <v>242</v>
      </c>
      <c r="E23" s="10"/>
      <c r="F23" s="10"/>
      <c r="G23" s="8"/>
      <c r="H23" s="6">
        <v>-801.53</v>
      </c>
      <c r="I23" s="6">
        <v>-200</v>
      </c>
      <c r="J23" s="6">
        <v>-57.34</v>
      </c>
      <c r="K23" s="6">
        <v>-137.34</v>
      </c>
      <c r="L23" s="6">
        <v>-200</v>
      </c>
      <c r="M23" t="s">
        <v>387</v>
      </c>
    </row>
    <row r="24" spans="1:14" ht="15.75" x14ac:dyDescent="0.25">
      <c r="A24" s="10"/>
      <c r="B24" s="9" t="s">
        <v>38</v>
      </c>
      <c r="C24" s="10"/>
      <c r="D24" s="10"/>
      <c r="E24" s="10"/>
      <c r="F24" s="10"/>
      <c r="G24" s="8"/>
      <c r="H24" s="7">
        <f>SUM(H14:H23)</f>
        <v>-14022.359999999999</v>
      </c>
      <c r="I24" s="7">
        <f t="shared" ref="I24:L24" si="1">SUM(I14:I23)</f>
        <v>-25700</v>
      </c>
      <c r="J24" s="7">
        <f t="shared" si="1"/>
        <v>-8598.32</v>
      </c>
      <c r="K24" s="7">
        <f t="shared" si="1"/>
        <v>-15202.02</v>
      </c>
      <c r="L24" s="7">
        <f t="shared" si="1"/>
        <v>-20800</v>
      </c>
    </row>
    <row r="25" spans="1:14" ht="15.75" x14ac:dyDescent="0.25">
      <c r="A25" s="14" t="s">
        <v>153</v>
      </c>
      <c r="B25" s="14"/>
      <c r="C25" s="14"/>
      <c r="D25" s="14"/>
      <c r="E25" s="14"/>
      <c r="F25" s="14"/>
      <c r="G25" s="16"/>
      <c r="H25" s="16">
        <f>H24</f>
        <v>-14022.359999999999</v>
      </c>
      <c r="I25" s="16">
        <f t="shared" ref="I25:L25" si="2">I24</f>
        <v>-25700</v>
      </c>
      <c r="J25" s="16">
        <f t="shared" si="2"/>
        <v>-8598.32</v>
      </c>
      <c r="K25" s="16">
        <f t="shared" si="2"/>
        <v>-15202.02</v>
      </c>
      <c r="L25" s="16">
        <f t="shared" si="2"/>
        <v>-20800</v>
      </c>
    </row>
    <row r="26" spans="1:14" ht="15.75" x14ac:dyDescent="0.25">
      <c r="A26" s="10"/>
      <c r="B26" s="10"/>
      <c r="C26" s="10"/>
      <c r="D26" s="10"/>
      <c r="E26" s="10"/>
      <c r="F26" s="10"/>
      <c r="G26" s="8"/>
      <c r="H26" s="8"/>
      <c r="I26" s="8"/>
      <c r="J26" s="8"/>
      <c r="K26" s="8"/>
      <c r="L26" s="8"/>
    </row>
    <row r="27" spans="1:14" x14ac:dyDescent="0.25">
      <c r="A27" s="7" t="s">
        <v>38</v>
      </c>
      <c r="H27" s="6">
        <f>H10+H24</f>
        <v>-293078.67</v>
      </c>
      <c r="I27" s="6">
        <f t="shared" ref="I27:L27" si="3">I10+I24</f>
        <v>-413700</v>
      </c>
      <c r="J27" s="6">
        <f t="shared" si="3"/>
        <v>-182784.04</v>
      </c>
      <c r="K27" s="6">
        <f t="shared" si="3"/>
        <v>-378671.64</v>
      </c>
      <c r="L27" s="6">
        <f t="shared" si="3"/>
        <v>-452800</v>
      </c>
    </row>
    <row r="28" spans="1:14" x14ac:dyDescent="0.25">
      <c r="A28" s="7" t="s">
        <v>3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</row>
    <row r="29" spans="1:14" ht="15.75" x14ac:dyDescent="0.25">
      <c r="A29" s="14" t="s">
        <v>212</v>
      </c>
      <c r="B29" s="14"/>
      <c r="C29" s="14"/>
      <c r="D29" s="14"/>
      <c r="H29" s="16">
        <f>H27+H28</f>
        <v>-293078.67</v>
      </c>
      <c r="I29" s="16">
        <f t="shared" ref="I29:L29" si="4">I27+I28</f>
        <v>-413700</v>
      </c>
      <c r="J29" s="16">
        <f t="shared" si="4"/>
        <v>-182784.04</v>
      </c>
      <c r="K29" s="16">
        <f t="shared" si="4"/>
        <v>-378671.64</v>
      </c>
      <c r="L29" s="16">
        <f t="shared" si="4"/>
        <v>-452800</v>
      </c>
    </row>
    <row r="30" spans="1:14" x14ac:dyDescent="0.25">
      <c r="A30" s="7"/>
    </row>
    <row r="31" spans="1:14" ht="57" x14ac:dyDescent="0.45">
      <c r="A31" s="31" t="s">
        <v>235</v>
      </c>
      <c r="B31" s="4" t="s">
        <v>243</v>
      </c>
    </row>
    <row r="32" spans="1:14" ht="63" x14ac:dyDescent="0.25">
      <c r="A32" s="10"/>
      <c r="D32" s="46" t="s">
        <v>240</v>
      </c>
      <c r="H32" s="24" t="s">
        <v>121</v>
      </c>
      <c r="I32" s="24" t="s">
        <v>123</v>
      </c>
      <c r="J32" s="24" t="s">
        <v>156</v>
      </c>
      <c r="K32" s="24" t="s">
        <v>122</v>
      </c>
      <c r="L32" s="24" t="s">
        <v>215</v>
      </c>
      <c r="M32" s="24" t="s">
        <v>422</v>
      </c>
      <c r="N32" s="24" t="s">
        <v>421</v>
      </c>
    </row>
    <row r="33" spans="1:14" ht="31.5" x14ac:dyDescent="0.25">
      <c r="A33" s="33" t="s">
        <v>165</v>
      </c>
      <c r="D33" s="10" t="s">
        <v>242</v>
      </c>
      <c r="I33" s="19">
        <v>13000</v>
      </c>
      <c r="J33" s="6">
        <v>9.9</v>
      </c>
      <c r="K33" s="6">
        <v>15009.9</v>
      </c>
      <c r="L33" s="53">
        <f>I33-K34</f>
        <v>-2746.91</v>
      </c>
      <c r="M33" t="s">
        <v>373</v>
      </c>
      <c r="N33" s="56" t="s">
        <v>419</v>
      </c>
    </row>
    <row r="34" spans="1:14" ht="31.5" x14ac:dyDescent="0.25">
      <c r="A34" s="33" t="s">
        <v>166</v>
      </c>
      <c r="D34" s="10" t="s">
        <v>242</v>
      </c>
      <c r="I34" s="19">
        <v>19000</v>
      </c>
      <c r="J34" s="20">
        <v>1064.94</v>
      </c>
      <c r="K34" s="8">
        <v>15746.91</v>
      </c>
      <c r="L34" s="8">
        <f>I34-K35</f>
        <v>3253.09</v>
      </c>
      <c r="M34" t="s">
        <v>372</v>
      </c>
    </row>
    <row r="35" spans="1:14" ht="15.75" x14ac:dyDescent="0.25">
      <c r="A35" s="16"/>
      <c r="B35" s="16"/>
      <c r="C35" s="16"/>
      <c r="D35" s="16"/>
      <c r="H35" s="16">
        <f t="shared" ref="H35:I35" si="5">SUM(H33:H34)</f>
        <v>0</v>
      </c>
      <c r="I35" s="16">
        <f t="shared" si="5"/>
        <v>32000</v>
      </c>
      <c r="J35" s="16">
        <f>SUM(J34:J34)</f>
        <v>1064.94</v>
      </c>
      <c r="K35" s="16">
        <f>SUM(K34:K34)</f>
        <v>15746.91</v>
      </c>
      <c r="L35" s="16">
        <f>SUM(L33:L34)</f>
        <v>506.18000000000029</v>
      </c>
    </row>
    <row r="37" spans="1:14" x14ac:dyDescent="0.25">
      <c r="I37"/>
      <c r="J37"/>
      <c r="K37"/>
      <c r="L37"/>
    </row>
  </sheetData>
  <sheetProtection algorithmName="SHA-512" hashValue="ZPiF/YG25P5PzugN0PnIsxZfnIrnPF09hXn1pJWyEwxoRXtK+Og+lF88xe/UaFuXXhWmce4tKZziB7301+qBQQ==" saltValue="GJ7JaeQah+E6qoTJJQmc8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6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2C258-358B-427B-AF1B-A4AF535173B7}">
  <sheetPr>
    <pageSetUpPr fitToPage="1"/>
  </sheetPr>
  <dimension ref="A3:N39"/>
  <sheetViews>
    <sheetView topLeftCell="A2" workbookViewId="0">
      <selection activeCell="M20" sqref="M20"/>
    </sheetView>
  </sheetViews>
  <sheetFormatPr defaultColWidth="8.7109375" defaultRowHeight="15" x14ac:dyDescent="0.25"/>
  <cols>
    <col min="1" max="1" width="42.7109375" customWidth="1"/>
    <col min="5" max="7" width="0" hidden="1" customWidth="1"/>
    <col min="8" max="8" width="15.42578125" style="6" customWidth="1"/>
    <col min="9" max="9" width="15.7109375" style="6" customWidth="1"/>
    <col min="10" max="10" width="15" style="6" customWidth="1"/>
    <col min="11" max="11" width="15.7109375" style="6" customWidth="1"/>
    <col min="12" max="12" width="16.28515625" style="6" customWidth="1"/>
    <col min="13" max="13" width="19.7109375" customWidth="1"/>
    <col min="14" max="14" width="28.42578125" customWidth="1"/>
  </cols>
  <sheetData>
    <row r="3" spans="1:14" ht="18.75" x14ac:dyDescent="0.3">
      <c r="A3" s="4" t="s">
        <v>129</v>
      </c>
      <c r="B3" s="10"/>
      <c r="C3" s="10"/>
      <c r="D3" s="10"/>
      <c r="E3" s="10"/>
      <c r="F3" s="10"/>
      <c r="G3" s="8"/>
      <c r="H3" s="8"/>
      <c r="I3" s="8"/>
      <c r="J3" s="8"/>
      <c r="K3" s="8"/>
      <c r="L3" s="8"/>
    </row>
    <row r="4" spans="1:14" ht="31.5" x14ac:dyDescent="0.25">
      <c r="A4" s="9" t="s">
        <v>20</v>
      </c>
      <c r="B4" s="10"/>
      <c r="C4" s="10"/>
      <c r="D4" s="46" t="s">
        <v>240</v>
      </c>
      <c r="E4" s="10"/>
      <c r="F4" s="10"/>
      <c r="G4" s="8"/>
      <c r="H4" s="24" t="s">
        <v>121</v>
      </c>
      <c r="I4" s="24" t="s">
        <v>123</v>
      </c>
      <c r="J4" s="24" t="s">
        <v>156</v>
      </c>
      <c r="K4" s="24" t="s">
        <v>122</v>
      </c>
      <c r="L4" s="24" t="s">
        <v>124</v>
      </c>
      <c r="M4" s="24" t="s">
        <v>422</v>
      </c>
      <c r="N4" s="24" t="s">
        <v>421</v>
      </c>
    </row>
    <row r="5" spans="1:14" ht="15.75" x14ac:dyDescent="0.25">
      <c r="A5" s="10" t="s">
        <v>78</v>
      </c>
      <c r="B5" s="10"/>
      <c r="C5" s="10"/>
      <c r="D5" s="10" t="s">
        <v>238</v>
      </c>
      <c r="E5" s="10"/>
      <c r="F5" s="10"/>
      <c r="G5" s="8"/>
      <c r="H5" s="6">
        <v>-908.85</v>
      </c>
      <c r="I5" s="6">
        <v>-2700</v>
      </c>
      <c r="J5" s="6">
        <v>-470.1</v>
      </c>
      <c r="K5" s="6">
        <v>-2700</v>
      </c>
      <c r="L5" s="6">
        <v>-2700</v>
      </c>
      <c r="M5" t="s">
        <v>388</v>
      </c>
    </row>
    <row r="6" spans="1:14" ht="15.75" x14ac:dyDescent="0.25">
      <c r="A6" s="10" t="s">
        <v>79</v>
      </c>
      <c r="B6" s="10"/>
      <c r="C6" s="10"/>
      <c r="D6" s="10" t="s">
        <v>238</v>
      </c>
      <c r="E6" s="10"/>
      <c r="F6" s="10"/>
      <c r="G6" s="8"/>
      <c r="H6" s="6">
        <v>0</v>
      </c>
      <c r="I6" s="6">
        <v>-250</v>
      </c>
      <c r="J6" s="6">
        <v>0</v>
      </c>
      <c r="K6" s="6">
        <v>-250</v>
      </c>
      <c r="L6" s="6">
        <v>-250</v>
      </c>
      <c r="M6" t="s">
        <v>389</v>
      </c>
    </row>
    <row r="7" spans="1:14" ht="15.75" x14ac:dyDescent="0.25">
      <c r="A7" s="10" t="s">
        <v>80</v>
      </c>
      <c r="B7" s="10"/>
      <c r="C7" s="10"/>
      <c r="D7" s="10" t="s">
        <v>238</v>
      </c>
      <c r="E7" s="10"/>
      <c r="F7" s="10"/>
      <c r="G7" s="8"/>
      <c r="H7" s="6">
        <v>0</v>
      </c>
      <c r="I7" s="6">
        <v>-500</v>
      </c>
      <c r="J7" s="6">
        <v>0</v>
      </c>
      <c r="K7" s="6">
        <v>0</v>
      </c>
      <c r="L7" s="6">
        <v>-500</v>
      </c>
      <c r="M7" t="s">
        <v>390</v>
      </c>
    </row>
    <row r="8" spans="1:14" ht="15.75" x14ac:dyDescent="0.25">
      <c r="A8" s="10" t="s">
        <v>81</v>
      </c>
      <c r="B8" s="10"/>
      <c r="C8" s="10"/>
      <c r="D8" t="s">
        <v>247</v>
      </c>
      <c r="E8" s="10"/>
      <c r="F8" s="10"/>
      <c r="G8" s="8"/>
      <c r="H8" s="6">
        <v>-317.25</v>
      </c>
      <c r="I8" s="6">
        <v>-150</v>
      </c>
      <c r="J8" s="6">
        <v>-101.88</v>
      </c>
      <c r="K8" s="6">
        <v>-126.88</v>
      </c>
      <c r="L8" s="6">
        <v>-200</v>
      </c>
      <c r="M8" t="s">
        <v>391</v>
      </c>
    </row>
    <row r="9" spans="1:14" ht="15.75" x14ac:dyDescent="0.25">
      <c r="A9" s="10" t="s">
        <v>83</v>
      </c>
      <c r="B9" s="10"/>
      <c r="C9" s="10"/>
      <c r="D9" t="s">
        <v>255</v>
      </c>
      <c r="E9" s="10"/>
      <c r="F9" s="10"/>
      <c r="G9" s="8"/>
      <c r="H9" s="6">
        <v>-4866.12</v>
      </c>
      <c r="I9" s="6">
        <v>-8500</v>
      </c>
      <c r="J9" s="6">
        <v>-3901.68</v>
      </c>
      <c r="K9" s="6">
        <v>-8199.4</v>
      </c>
      <c r="L9" s="6">
        <v>-8000</v>
      </c>
      <c r="M9" t="s">
        <v>392</v>
      </c>
    </row>
    <row r="10" spans="1:14" ht="15.75" x14ac:dyDescent="0.25">
      <c r="A10" s="10" t="s">
        <v>82</v>
      </c>
      <c r="B10" s="10"/>
      <c r="C10" s="10"/>
      <c r="D10" t="s">
        <v>255</v>
      </c>
      <c r="E10" s="10"/>
      <c r="F10" s="10"/>
      <c r="G10" s="8"/>
      <c r="H10" s="6">
        <v>0</v>
      </c>
      <c r="I10" s="6">
        <v>0</v>
      </c>
      <c r="J10" s="6">
        <v>0</v>
      </c>
      <c r="K10" s="6">
        <v>0</v>
      </c>
      <c r="L10" s="6">
        <v>-500</v>
      </c>
      <c r="M10" t="s">
        <v>270</v>
      </c>
      <c r="N10" s="6"/>
    </row>
    <row r="11" spans="1:14" ht="15.75" x14ac:dyDescent="0.25">
      <c r="A11" s="10" t="s">
        <v>77</v>
      </c>
      <c r="B11" s="10"/>
      <c r="C11" s="10"/>
      <c r="D11" t="s">
        <v>254</v>
      </c>
      <c r="E11" s="10"/>
      <c r="F11" s="10"/>
      <c r="G11" s="8"/>
      <c r="H11" s="6">
        <v>-11072.86</v>
      </c>
      <c r="I11" s="6">
        <v>-15569.17</v>
      </c>
      <c r="J11" s="6">
        <v>-1915.14</v>
      </c>
      <c r="K11" s="6">
        <v>-6277.91</v>
      </c>
      <c r="L11" s="6">
        <v>-16000</v>
      </c>
      <c r="M11" t="s">
        <v>395</v>
      </c>
    </row>
    <row r="12" spans="1:14" ht="15.75" x14ac:dyDescent="0.25">
      <c r="A12" s="10" t="s">
        <v>84</v>
      </c>
      <c r="B12" s="10"/>
      <c r="C12" s="10"/>
      <c r="D12" t="s">
        <v>254</v>
      </c>
      <c r="E12" s="10"/>
      <c r="F12" s="10"/>
      <c r="G12" s="8"/>
      <c r="H12" s="6">
        <v>-4520.18</v>
      </c>
      <c r="I12" s="6">
        <v>-8890.83</v>
      </c>
      <c r="J12" s="6">
        <v>-4656.51</v>
      </c>
      <c r="K12" s="6">
        <v>-5188.1400000000003</v>
      </c>
      <c r="L12" s="6">
        <v>-10000</v>
      </c>
      <c r="M12" t="s">
        <v>394</v>
      </c>
    </row>
    <row r="13" spans="1:14" ht="15.75" x14ac:dyDescent="0.25">
      <c r="A13" s="10" t="s">
        <v>85</v>
      </c>
      <c r="B13" s="10"/>
      <c r="C13" s="10"/>
      <c r="D13" t="s">
        <v>254</v>
      </c>
      <c r="E13" s="10"/>
      <c r="F13" s="10"/>
      <c r="G13" s="8"/>
      <c r="H13" s="6">
        <v>-32882.1</v>
      </c>
      <c r="I13" s="6">
        <v>-24540</v>
      </c>
      <c r="J13" s="6">
        <v>-1033.72</v>
      </c>
      <c r="K13" s="57">
        <v>-26108.720000000001</v>
      </c>
      <c r="L13" s="6">
        <v>-26500</v>
      </c>
      <c r="M13" t="s">
        <v>393</v>
      </c>
      <c r="N13" s="58" t="s">
        <v>427</v>
      </c>
    </row>
    <row r="14" spans="1:14" ht="15.75" x14ac:dyDescent="0.25">
      <c r="A14" s="10"/>
      <c r="B14" s="9" t="s">
        <v>38</v>
      </c>
      <c r="C14" s="10"/>
      <c r="D14" s="10"/>
      <c r="E14" s="10"/>
      <c r="F14" s="10"/>
      <c r="G14" s="8"/>
      <c r="H14" s="7">
        <f>SUM(H5:H13)</f>
        <v>-54567.360000000001</v>
      </c>
      <c r="I14" s="7">
        <f t="shared" ref="I14:K14" si="0">SUM(I5:I13)</f>
        <v>-61100</v>
      </c>
      <c r="J14" s="7">
        <f t="shared" si="0"/>
        <v>-12079.03</v>
      </c>
      <c r="K14" s="7">
        <f t="shared" si="0"/>
        <v>-48851.05</v>
      </c>
      <c r="L14" s="7">
        <f>SUM(L5:L13)</f>
        <v>-64650</v>
      </c>
    </row>
    <row r="15" spans="1:14" ht="15.75" x14ac:dyDescent="0.25">
      <c r="A15" s="10" t="s">
        <v>77</v>
      </c>
      <c r="B15" s="10"/>
      <c r="C15" s="10"/>
      <c r="D15" s="10" t="s">
        <v>238</v>
      </c>
      <c r="E15" s="10"/>
      <c r="F15" s="10"/>
      <c r="G15" s="8"/>
      <c r="H15" s="6">
        <v>11351</v>
      </c>
      <c r="I15" s="6">
        <v>12000</v>
      </c>
      <c r="J15" s="6">
        <v>10193</v>
      </c>
      <c r="K15" s="6">
        <v>10826</v>
      </c>
      <c r="L15" s="6">
        <v>16000</v>
      </c>
      <c r="M15" t="s">
        <v>399</v>
      </c>
    </row>
    <row r="16" spans="1:14" ht="15.75" x14ac:dyDescent="0.25">
      <c r="A16" s="10" t="s">
        <v>84</v>
      </c>
      <c r="B16" s="10"/>
      <c r="C16" s="10"/>
      <c r="D16" s="10" t="s">
        <v>238</v>
      </c>
      <c r="E16" s="10"/>
      <c r="F16" s="10"/>
      <c r="G16" s="8"/>
      <c r="H16" s="6">
        <v>2053.9</v>
      </c>
      <c r="I16" s="6">
        <v>0</v>
      </c>
      <c r="J16" s="6">
        <v>0</v>
      </c>
      <c r="K16" s="6">
        <v>0</v>
      </c>
      <c r="L16" s="6">
        <v>0</v>
      </c>
      <c r="M16" t="s">
        <v>270</v>
      </c>
    </row>
    <row r="17" spans="1:14" ht="15.75" x14ac:dyDescent="0.25">
      <c r="A17" s="10"/>
      <c r="B17" s="9" t="s">
        <v>3</v>
      </c>
      <c r="C17" s="10"/>
      <c r="D17" s="10"/>
      <c r="E17" s="10"/>
      <c r="F17" s="10"/>
      <c r="G17" s="8"/>
      <c r="H17" s="7">
        <f>SUM(H15:H16)</f>
        <v>13404.9</v>
      </c>
      <c r="I17" s="7">
        <f t="shared" ref="I17:L17" si="1">SUM(I15:I16)</f>
        <v>12000</v>
      </c>
      <c r="J17" s="7">
        <f t="shared" si="1"/>
        <v>10193</v>
      </c>
      <c r="K17" s="7">
        <f t="shared" si="1"/>
        <v>10826</v>
      </c>
      <c r="L17" s="7">
        <f t="shared" si="1"/>
        <v>16000</v>
      </c>
    </row>
    <row r="18" spans="1:14" ht="15.75" x14ac:dyDescent="0.25">
      <c r="A18" s="14" t="s">
        <v>154</v>
      </c>
      <c r="B18" s="14"/>
      <c r="C18" s="14"/>
      <c r="D18" s="14"/>
      <c r="E18" s="14"/>
      <c r="F18" s="14"/>
      <c r="G18" s="16"/>
      <c r="H18" s="16">
        <f t="shared" ref="H18:K18" si="2">H14+H17</f>
        <v>-41162.46</v>
      </c>
      <c r="I18" s="16">
        <f t="shared" si="2"/>
        <v>-49100</v>
      </c>
      <c r="J18" s="16">
        <f t="shared" si="2"/>
        <v>-1886.0300000000007</v>
      </c>
      <c r="K18" s="16">
        <f t="shared" si="2"/>
        <v>-38025.050000000003</v>
      </c>
      <c r="L18" s="16">
        <f>L14+L17</f>
        <v>-48650</v>
      </c>
    </row>
    <row r="20" spans="1:14" x14ac:dyDescent="0.25">
      <c r="A20" s="7" t="s">
        <v>38</v>
      </c>
      <c r="H20" s="6">
        <f>H14</f>
        <v>-54567.360000000001</v>
      </c>
      <c r="I20" s="6">
        <f t="shared" ref="I20:L20" si="3">I14</f>
        <v>-61100</v>
      </c>
      <c r="J20" s="6">
        <f t="shared" si="3"/>
        <v>-12079.03</v>
      </c>
      <c r="K20" s="6">
        <f t="shared" si="3"/>
        <v>-48851.05</v>
      </c>
      <c r="L20" s="6">
        <f t="shared" si="3"/>
        <v>-64650</v>
      </c>
    </row>
    <row r="21" spans="1:14" x14ac:dyDescent="0.25">
      <c r="A21" s="7" t="s">
        <v>3</v>
      </c>
      <c r="H21" s="6">
        <f>H17</f>
        <v>13404.9</v>
      </c>
      <c r="I21" s="6">
        <f t="shared" ref="I21:L21" si="4">I17</f>
        <v>12000</v>
      </c>
      <c r="J21" s="6">
        <f t="shared" si="4"/>
        <v>10193</v>
      </c>
      <c r="K21" s="6">
        <f t="shared" si="4"/>
        <v>10826</v>
      </c>
      <c r="L21" s="6">
        <f t="shared" si="4"/>
        <v>16000</v>
      </c>
    </row>
    <row r="22" spans="1:14" ht="15.75" x14ac:dyDescent="0.25">
      <c r="A22" s="14" t="s">
        <v>214</v>
      </c>
      <c r="B22" s="14"/>
      <c r="C22" s="14"/>
      <c r="D22" s="14"/>
      <c r="H22" s="16">
        <f>H20+H21</f>
        <v>-41162.46</v>
      </c>
      <c r="I22" s="16">
        <f t="shared" ref="I22:L22" si="5">I20+I21</f>
        <v>-49100</v>
      </c>
      <c r="J22" s="16">
        <f t="shared" si="5"/>
        <v>-1886.0300000000007</v>
      </c>
      <c r="K22" s="16">
        <f t="shared" si="5"/>
        <v>-38025.050000000003</v>
      </c>
      <c r="L22" s="16">
        <f t="shared" si="5"/>
        <v>-48650</v>
      </c>
    </row>
    <row r="24" spans="1:14" ht="28.5" x14ac:dyDescent="0.45">
      <c r="A24" s="31" t="s">
        <v>236</v>
      </c>
      <c r="B24" s="4" t="s">
        <v>244</v>
      </c>
    </row>
    <row r="25" spans="1:14" ht="63.75" x14ac:dyDescent="0.3">
      <c r="A25" s="4" t="s">
        <v>129</v>
      </c>
      <c r="B25" s="21"/>
      <c r="C25" s="21"/>
      <c r="D25" s="46" t="s">
        <v>240</v>
      </c>
      <c r="E25" s="21"/>
      <c r="F25" s="10"/>
      <c r="G25" s="8"/>
      <c r="H25" s="24" t="s">
        <v>121</v>
      </c>
      <c r="I25" s="24" t="s">
        <v>123</v>
      </c>
      <c r="J25" s="24" t="s">
        <v>156</v>
      </c>
      <c r="K25" s="24" t="s">
        <v>122</v>
      </c>
      <c r="L25" s="24" t="s">
        <v>215</v>
      </c>
      <c r="M25" s="24" t="s">
        <v>422</v>
      </c>
      <c r="N25" s="24" t="s">
        <v>421</v>
      </c>
    </row>
    <row r="26" spans="1:14" ht="15.75" x14ac:dyDescent="0.25">
      <c r="A26" s="18" t="s">
        <v>179</v>
      </c>
      <c r="B26" s="21"/>
      <c r="C26" s="21"/>
      <c r="D26" t="s">
        <v>254</v>
      </c>
      <c r="E26" s="21"/>
      <c r="F26" s="10"/>
      <c r="G26" s="8"/>
      <c r="H26" s="8"/>
      <c r="I26" s="19">
        <v>100</v>
      </c>
      <c r="J26" s="20">
        <v>120</v>
      </c>
      <c r="K26" s="8">
        <f>J26</f>
        <v>120</v>
      </c>
      <c r="L26" s="53">
        <f t="shared" ref="L26:L38" si="6">I26-K26</f>
        <v>-20</v>
      </c>
      <c r="M26" t="s">
        <v>400</v>
      </c>
      <c r="N26" s="55" t="s">
        <v>418</v>
      </c>
    </row>
    <row r="27" spans="1:14" ht="15.75" x14ac:dyDescent="0.25">
      <c r="A27" s="18" t="s">
        <v>180</v>
      </c>
      <c r="B27" s="21"/>
      <c r="C27" s="21"/>
      <c r="D27" t="s">
        <v>254</v>
      </c>
      <c r="E27" s="21"/>
      <c r="F27" s="10"/>
      <c r="G27" s="8"/>
      <c r="H27" s="8"/>
      <c r="I27" s="19">
        <v>497.66</v>
      </c>
      <c r="J27" s="20">
        <v>0</v>
      </c>
      <c r="K27" s="8">
        <f t="shared" ref="K27:K28" si="7">J27</f>
        <v>0</v>
      </c>
      <c r="L27" s="8">
        <f t="shared" si="6"/>
        <v>497.66</v>
      </c>
      <c r="M27" t="s">
        <v>401</v>
      </c>
    </row>
    <row r="28" spans="1:14" ht="15.75" x14ac:dyDescent="0.25">
      <c r="A28" s="18" t="s">
        <v>167</v>
      </c>
      <c r="B28" s="21"/>
      <c r="C28" s="21"/>
      <c r="D28" s="21" t="s">
        <v>238</v>
      </c>
      <c r="E28" s="21"/>
      <c r="F28" s="10"/>
      <c r="G28" s="8"/>
      <c r="H28" s="8"/>
      <c r="I28" s="19">
        <v>1791</v>
      </c>
      <c r="J28" s="20">
        <v>1791</v>
      </c>
      <c r="K28" s="8">
        <f t="shared" si="7"/>
        <v>1791</v>
      </c>
      <c r="L28" s="8">
        <f t="shared" si="6"/>
        <v>0</v>
      </c>
      <c r="M28" t="s">
        <v>402</v>
      </c>
    </row>
    <row r="29" spans="1:14" ht="15.75" x14ac:dyDescent="0.25">
      <c r="A29" s="18" t="s">
        <v>168</v>
      </c>
      <c r="B29" s="21"/>
      <c r="C29" s="21"/>
      <c r="D29" s="21" t="s">
        <v>238</v>
      </c>
      <c r="E29" s="21"/>
      <c r="F29" s="10"/>
      <c r="G29" s="8"/>
      <c r="H29" s="8"/>
      <c r="I29" s="19">
        <v>250</v>
      </c>
      <c r="J29" s="20">
        <v>0</v>
      </c>
      <c r="K29" s="8">
        <f>J29</f>
        <v>0</v>
      </c>
      <c r="L29" s="8">
        <f t="shared" si="6"/>
        <v>250</v>
      </c>
      <c r="M29" t="s">
        <v>402</v>
      </c>
    </row>
    <row r="30" spans="1:14" ht="15.75" x14ac:dyDescent="0.25">
      <c r="A30" s="18" t="s">
        <v>181</v>
      </c>
      <c r="B30" s="21"/>
      <c r="C30" s="21"/>
      <c r="D30" t="s">
        <v>254</v>
      </c>
      <c r="E30" s="21"/>
      <c r="F30" s="10"/>
      <c r="G30" s="8"/>
      <c r="H30" s="8"/>
      <c r="I30" s="19">
        <v>100</v>
      </c>
      <c r="J30" s="20">
        <v>100</v>
      </c>
      <c r="K30" s="8">
        <f>J30</f>
        <v>100</v>
      </c>
      <c r="L30" s="8">
        <f t="shared" si="6"/>
        <v>0</v>
      </c>
      <c r="M30" t="s">
        <v>403</v>
      </c>
    </row>
    <row r="31" spans="1:14" ht="15.75" x14ac:dyDescent="0.25">
      <c r="A31" s="18" t="s">
        <v>182</v>
      </c>
      <c r="B31" s="21"/>
      <c r="C31" s="21"/>
      <c r="D31" t="s">
        <v>254</v>
      </c>
      <c r="E31" s="21"/>
      <c r="F31" s="10"/>
      <c r="G31" s="8"/>
      <c r="H31" s="8"/>
      <c r="I31" s="19">
        <v>100</v>
      </c>
      <c r="J31" s="20">
        <v>100</v>
      </c>
      <c r="K31" s="8">
        <f t="shared" ref="K31:K32" si="8">J31</f>
        <v>100</v>
      </c>
      <c r="L31" s="8">
        <f t="shared" si="6"/>
        <v>0</v>
      </c>
      <c r="M31" t="s">
        <v>404</v>
      </c>
    </row>
    <row r="32" spans="1:14" ht="15.75" x14ac:dyDescent="0.25">
      <c r="A32" s="18" t="s">
        <v>183</v>
      </c>
      <c r="B32" s="21"/>
      <c r="C32" s="21"/>
      <c r="D32" t="s">
        <v>254</v>
      </c>
      <c r="E32" s="21"/>
      <c r="F32" s="10"/>
      <c r="G32" s="8"/>
      <c r="H32" s="8"/>
      <c r="I32" s="19">
        <v>100</v>
      </c>
      <c r="J32" s="20">
        <v>100</v>
      </c>
      <c r="K32" s="8">
        <f t="shared" si="8"/>
        <v>100</v>
      </c>
      <c r="L32" s="8">
        <f t="shared" si="6"/>
        <v>0</v>
      </c>
      <c r="M32" t="s">
        <v>405</v>
      </c>
    </row>
    <row r="33" spans="1:13" ht="15.75" x14ac:dyDescent="0.25">
      <c r="A33" s="18" t="s">
        <v>184</v>
      </c>
      <c r="B33" s="21"/>
      <c r="C33" s="21"/>
      <c r="D33" t="s">
        <v>254</v>
      </c>
      <c r="E33" s="21"/>
      <c r="F33" s="10"/>
      <c r="G33" s="8"/>
      <c r="H33" s="8"/>
      <c r="I33" s="19">
        <v>430</v>
      </c>
      <c r="J33" s="20">
        <v>430</v>
      </c>
      <c r="K33" s="8">
        <f>J33</f>
        <v>430</v>
      </c>
      <c r="L33" s="8">
        <f t="shared" si="6"/>
        <v>0</v>
      </c>
      <c r="M33" t="s">
        <v>406</v>
      </c>
    </row>
    <row r="34" spans="1:13" ht="15.75" x14ac:dyDescent="0.25">
      <c r="A34" s="18" t="s">
        <v>185</v>
      </c>
      <c r="B34" s="21"/>
      <c r="C34" s="21"/>
      <c r="D34" t="s">
        <v>254</v>
      </c>
      <c r="E34" s="21"/>
      <c r="F34" s="10"/>
      <c r="G34" s="8"/>
      <c r="H34" s="8"/>
      <c r="I34" s="19">
        <v>3000</v>
      </c>
      <c r="J34" s="20">
        <v>0</v>
      </c>
      <c r="K34" s="8">
        <f>I34</f>
        <v>3000</v>
      </c>
      <c r="L34" s="8">
        <f t="shared" si="6"/>
        <v>0</v>
      </c>
      <c r="M34" t="s">
        <v>407</v>
      </c>
    </row>
    <row r="35" spans="1:13" ht="15.75" x14ac:dyDescent="0.25">
      <c r="A35" s="18" t="s">
        <v>233</v>
      </c>
      <c r="B35" s="21"/>
      <c r="C35" s="21"/>
      <c r="D35" t="s">
        <v>254</v>
      </c>
      <c r="E35" s="21"/>
      <c r="F35" s="10"/>
      <c r="G35" s="8"/>
      <c r="H35" s="8"/>
      <c r="I35" s="19">
        <v>180</v>
      </c>
      <c r="J35" s="20">
        <v>0</v>
      </c>
      <c r="K35" s="8">
        <f t="shared" ref="K35:K38" si="9">I35</f>
        <v>180</v>
      </c>
      <c r="L35" s="8">
        <f t="shared" si="6"/>
        <v>0</v>
      </c>
      <c r="M35" t="s">
        <v>408</v>
      </c>
    </row>
    <row r="36" spans="1:13" ht="15.75" x14ac:dyDescent="0.25">
      <c r="A36" s="18" t="s">
        <v>169</v>
      </c>
      <c r="B36" s="21"/>
      <c r="C36" s="21"/>
      <c r="D36" t="s">
        <v>254</v>
      </c>
      <c r="E36" s="21"/>
      <c r="F36" s="10"/>
      <c r="G36" s="8"/>
      <c r="H36" s="8"/>
      <c r="I36" s="19">
        <v>700</v>
      </c>
      <c r="J36" s="20">
        <v>700</v>
      </c>
      <c r="K36" s="8">
        <f t="shared" si="9"/>
        <v>700</v>
      </c>
      <c r="L36" s="8">
        <f t="shared" si="6"/>
        <v>0</v>
      </c>
      <c r="M36" t="s">
        <v>409</v>
      </c>
    </row>
    <row r="37" spans="1:13" ht="15.75" x14ac:dyDescent="0.25">
      <c r="A37" s="18" t="s">
        <v>170</v>
      </c>
      <c r="B37" s="21"/>
      <c r="C37" s="21"/>
      <c r="D37" t="s">
        <v>254</v>
      </c>
      <c r="E37" s="21"/>
      <c r="F37" s="10"/>
      <c r="G37" s="8"/>
      <c r="H37" s="8"/>
      <c r="I37" s="19">
        <v>515</v>
      </c>
      <c r="J37" s="20">
        <v>195.75</v>
      </c>
      <c r="K37" s="8">
        <f t="shared" si="9"/>
        <v>515</v>
      </c>
      <c r="L37" s="8">
        <f t="shared" si="6"/>
        <v>0</v>
      </c>
      <c r="M37" t="s">
        <v>410</v>
      </c>
    </row>
    <row r="38" spans="1:13" ht="15.75" x14ac:dyDescent="0.25">
      <c r="A38" s="18" t="s">
        <v>171</v>
      </c>
      <c r="B38" s="21"/>
      <c r="C38" s="21"/>
      <c r="D38" t="s">
        <v>254</v>
      </c>
      <c r="E38" s="21"/>
      <c r="F38" s="10"/>
      <c r="G38" s="8"/>
      <c r="H38" s="8"/>
      <c r="I38" s="19">
        <v>307.93</v>
      </c>
      <c r="J38" s="20">
        <v>0</v>
      </c>
      <c r="K38" s="8">
        <f t="shared" si="9"/>
        <v>307.93</v>
      </c>
      <c r="L38" s="8">
        <f t="shared" si="6"/>
        <v>0</v>
      </c>
      <c r="M38" t="s">
        <v>411</v>
      </c>
    </row>
    <row r="39" spans="1:13" ht="15.75" x14ac:dyDescent="0.25">
      <c r="A39" s="14"/>
      <c r="B39" s="14"/>
      <c r="C39" s="14"/>
      <c r="D39" s="14"/>
      <c r="H39" s="16">
        <f t="shared" ref="H39:K39" si="10">SUM(H26:H38)</f>
        <v>0</v>
      </c>
      <c r="I39" s="16">
        <f t="shared" si="10"/>
        <v>8071.59</v>
      </c>
      <c r="J39" s="16">
        <f t="shared" si="10"/>
        <v>3536.75</v>
      </c>
      <c r="K39" s="16">
        <f t="shared" si="10"/>
        <v>7343.93</v>
      </c>
      <c r="L39" s="16">
        <f>SUM(L26:L38)</f>
        <v>727.66000000000008</v>
      </c>
    </row>
  </sheetData>
  <sheetProtection algorithmName="SHA-512" hashValue="lZnhu7T1cA27yq+dlZK70sNKOwLJia8ziKf8qZ4lDh7KVRyjqUF1epBMJsFvX0wa0au4f7IuRfktepAyDuXfzw==" saltValue="s2FHBYN8wEANQHVRqak1Kg==" spinCount="100000" sheet="1" formatCells="0" formatColumns="0" formatRows="0" insertColumns="0" insertRows="0" insertHyperlinks="0" deleteColumns="0" deleteRows="0" sort="0" autoFilter="0" pivotTables="0"/>
  <phoneticPr fontId="16" type="noConversion"/>
  <pageMargins left="0.7" right="0.7" top="0.75" bottom="0.75" header="0.3" footer="0.3"/>
  <pageSetup paperSize="9" scale="6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F01BE-7D6E-4D5D-92B3-10D3A0324B43}">
  <sheetPr>
    <pageSetUpPr fitToPage="1"/>
  </sheetPr>
  <dimension ref="A4:J6"/>
  <sheetViews>
    <sheetView workbookViewId="0">
      <selection activeCell="J5" sqref="J5"/>
    </sheetView>
  </sheetViews>
  <sheetFormatPr defaultColWidth="8.7109375" defaultRowHeight="15" x14ac:dyDescent="0.25"/>
  <cols>
    <col min="6" max="6" width="16.42578125" customWidth="1"/>
    <col min="7" max="7" width="13.42578125" customWidth="1"/>
    <col min="8" max="8" width="18.7109375" customWidth="1"/>
    <col min="9" max="9" width="16.7109375" customWidth="1"/>
  </cols>
  <sheetData>
    <row r="4" spans="1:10" ht="47.25" x14ac:dyDescent="0.25">
      <c r="A4" s="11" t="s">
        <v>172</v>
      </c>
      <c r="B4" s="21"/>
      <c r="C4" s="21"/>
      <c r="D4" s="21"/>
      <c r="E4" s="24" t="s">
        <v>121</v>
      </c>
      <c r="F4" s="24" t="s">
        <v>123</v>
      </c>
      <c r="G4" s="24" t="s">
        <v>156</v>
      </c>
      <c r="H4" s="24" t="s">
        <v>122</v>
      </c>
      <c r="I4" s="24" t="s">
        <v>215</v>
      </c>
    </row>
    <row r="5" spans="1:10" ht="15.75" x14ac:dyDescent="0.25">
      <c r="A5" s="10" t="s">
        <v>258</v>
      </c>
      <c r="B5" s="21"/>
      <c r="C5" s="21"/>
      <c r="D5" s="21"/>
      <c r="E5" s="8"/>
      <c r="F5" s="8">
        <v>211714</v>
      </c>
      <c r="G5" s="8">
        <v>0</v>
      </c>
      <c r="H5" s="8">
        <v>0</v>
      </c>
      <c r="I5" s="8">
        <v>211714</v>
      </c>
      <c r="J5" t="s">
        <v>412</v>
      </c>
    </row>
    <row r="6" spans="1:10" ht="15.75" x14ac:dyDescent="0.25">
      <c r="A6" s="14"/>
      <c r="B6" s="22" t="s">
        <v>174</v>
      </c>
      <c r="C6" s="22"/>
      <c r="D6" s="22"/>
      <c r="E6" s="16"/>
      <c r="F6" s="16">
        <f>SUM(F5:F5)</f>
        <v>211714</v>
      </c>
      <c r="G6" s="16">
        <f>SUM(G5:G5)</f>
        <v>0</v>
      </c>
      <c r="H6" s="16">
        <f>SUM(H5:H5)</f>
        <v>0</v>
      </c>
      <c r="I6" s="16">
        <f>SUM(I5:I5)</f>
        <v>211714</v>
      </c>
    </row>
  </sheetData>
  <sheetProtection algorithmName="SHA-512" hashValue="MC/xdLqloH9JQkAzfQTHWBtKrMJhg8uc2JYAt3do/NRkd3vgYxpVGRIqXn/qHQVcjoncIIZo//JM+0w58sv0ew==" saltValue="8MMcWGE/pLa8EHrMxQ9Wa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DA1A-2816-4A81-947A-C54DDE791F75}">
  <dimension ref="A2:E18"/>
  <sheetViews>
    <sheetView workbookViewId="0">
      <selection activeCell="C15" sqref="C15"/>
    </sheetView>
  </sheetViews>
  <sheetFormatPr defaultColWidth="8.7109375" defaultRowHeight="15" x14ac:dyDescent="0.25"/>
  <cols>
    <col min="1" max="1" width="65.28515625" customWidth="1"/>
    <col min="2" max="2" width="12.42578125" style="6" bestFit="1" customWidth="1"/>
    <col min="3" max="3" width="6.28515625" style="6" customWidth="1"/>
    <col min="4" max="4" width="43" customWidth="1"/>
    <col min="5" max="5" width="12.42578125" bestFit="1" customWidth="1"/>
  </cols>
  <sheetData>
    <row r="2" spans="1:5" ht="24" x14ac:dyDescent="0.4">
      <c r="A2" s="23" t="s">
        <v>462</v>
      </c>
    </row>
    <row r="3" spans="1:5" ht="69" customHeight="1" x14ac:dyDescent="0.4">
      <c r="A3" s="23" t="s">
        <v>229</v>
      </c>
      <c r="B3" s="6">
        <f>Allotments!F26+Cemetery!F33+Cemetery!F38+'Town Hall'!F26+'Town Hall'!F31+RLS!F20+Meadows!F26+Meadows!F30+Rec!F23+Rec!F29+'Sports Fields'!F20+'A&amp;S Supplies'!F21+'H&amp;C'!I27+'H&amp;C'!I36+'F&amp;G'!F49+'F&amp;G'!F53+Admin!I35+'C&amp;C'!I39+'General Reserves'!F6</f>
        <v>691658.05</v>
      </c>
      <c r="D3" s="45" t="s">
        <v>234</v>
      </c>
    </row>
    <row r="5" spans="1:5" ht="24" x14ac:dyDescent="0.4">
      <c r="A5" s="23" t="s">
        <v>459</v>
      </c>
      <c r="B5" s="6">
        <f>B3-B15</f>
        <v>204980.77000000008</v>
      </c>
      <c r="E5" s="6"/>
    </row>
    <row r="10" spans="1:5" ht="24" x14ac:dyDescent="0.4">
      <c r="A10" s="23" t="s">
        <v>460</v>
      </c>
    </row>
    <row r="12" spans="1:5" ht="24" x14ac:dyDescent="0.4">
      <c r="A12" s="23" t="s">
        <v>260</v>
      </c>
      <c r="B12" s="6">
        <f>Cemetery!I38+'Town Hall'!I31+Meadows!I30+Rec!I29+'A&amp;S Supplies'!I21+'H&amp;C'!L36+'F&amp;G'!I53+Admin!L35</f>
        <v>126245.68999999997</v>
      </c>
      <c r="C12"/>
    </row>
    <row r="13" spans="1:5" ht="24" x14ac:dyDescent="0.4">
      <c r="A13" s="23" t="s">
        <v>458</v>
      </c>
      <c r="B13" s="6">
        <f>Allotments!I26+Cemetery!I33+'Town Hall'!I26+RLS!I20+Meadows!I26+Rec!I23+'Sports Fields'!I20+'H&amp;C'!L27+'F&amp;G'!I49+'C&amp;C'!L39</f>
        <v>148717.59</v>
      </c>
      <c r="C13"/>
    </row>
    <row r="14" spans="1:5" ht="24" x14ac:dyDescent="0.4">
      <c r="A14" s="23" t="s">
        <v>228</v>
      </c>
      <c r="B14" s="6">
        <f>Budget!C166</f>
        <v>211714</v>
      </c>
      <c r="C14"/>
    </row>
    <row r="15" spans="1:5" ht="24" x14ac:dyDescent="0.4">
      <c r="A15" s="61" t="s">
        <v>461</v>
      </c>
      <c r="B15" s="62">
        <f>B12+B13+B14</f>
        <v>486677.27999999997</v>
      </c>
      <c r="C15"/>
      <c r="D15" s="6"/>
    </row>
    <row r="18" spans="4:4" x14ac:dyDescent="0.25">
      <c r="D18" s="6"/>
    </row>
  </sheetData>
  <sheetProtection algorithmName="SHA-512" hashValue="Z9KcuaW+oXLucg5mEkd4HuTmULdz3X4DkUVU7M5qezqh1/yFLGVeBH6bL8mq0HXZk854YyHpsAt50z6iftueWw==" saltValue="47hnkVjMQHXK6INKwTqnx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F8C26-0053-42A4-BFA7-BD2B99FE4DDC}">
  <sheetPr>
    <pageSetUpPr fitToPage="1"/>
  </sheetPr>
  <dimension ref="A2:L30"/>
  <sheetViews>
    <sheetView tabSelected="1" topLeftCell="A3" workbookViewId="0">
      <selection activeCell="E14" sqref="E14"/>
    </sheetView>
  </sheetViews>
  <sheetFormatPr defaultColWidth="8.7109375" defaultRowHeight="15" x14ac:dyDescent="0.25"/>
  <cols>
    <col min="1" max="1" width="46.42578125" style="34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  <col min="10" max="10" width="15.140625" customWidth="1"/>
    <col min="11" max="11" width="21.28515625" customWidth="1"/>
    <col min="12" max="12" width="22.140625" customWidth="1"/>
  </cols>
  <sheetData>
    <row r="2" spans="1:12" ht="24" x14ac:dyDescent="0.4">
      <c r="A2" s="27" t="s">
        <v>125</v>
      </c>
      <c r="B2" s="10"/>
      <c r="C2" s="10"/>
      <c r="D2" s="10"/>
      <c r="E2" s="8"/>
      <c r="F2" s="8"/>
      <c r="G2" s="8"/>
      <c r="H2" s="8"/>
    </row>
    <row r="3" spans="1:12" ht="33.75" x14ac:dyDescent="0.4">
      <c r="A3" s="47" t="s">
        <v>0</v>
      </c>
      <c r="B3" s="10"/>
      <c r="C3" s="10"/>
      <c r="D3" s="21" t="s">
        <v>240</v>
      </c>
      <c r="E3" s="24" t="s">
        <v>121</v>
      </c>
      <c r="F3" s="24" t="s">
        <v>123</v>
      </c>
      <c r="G3" s="24" t="s">
        <v>156</v>
      </c>
      <c r="H3" s="24" t="s">
        <v>122</v>
      </c>
      <c r="I3" s="24" t="s">
        <v>124</v>
      </c>
      <c r="J3" s="24" t="s">
        <v>422</v>
      </c>
      <c r="K3" s="24" t="s">
        <v>421</v>
      </c>
    </row>
    <row r="4" spans="1:12" ht="15.75" x14ac:dyDescent="0.25">
      <c r="A4" s="28" t="s">
        <v>30</v>
      </c>
      <c r="B4" s="10"/>
      <c r="C4" s="10"/>
      <c r="D4" s="10" t="s">
        <v>237</v>
      </c>
      <c r="E4" s="8">
        <v>-5037.46</v>
      </c>
      <c r="F4" s="8">
        <v>-8560.31</v>
      </c>
      <c r="G4" s="8">
        <v>-2488.2399999999998</v>
      </c>
      <c r="H4" s="8">
        <v>-2783.24</v>
      </c>
      <c r="I4" s="8">
        <v>-9756.15</v>
      </c>
      <c r="J4" t="s">
        <v>261</v>
      </c>
    </row>
    <row r="5" spans="1:12" ht="15.75" x14ac:dyDescent="0.25">
      <c r="A5" s="28" t="s">
        <v>40</v>
      </c>
      <c r="B5" s="10"/>
      <c r="C5" s="10"/>
      <c r="D5" s="10" t="s">
        <v>237</v>
      </c>
      <c r="E5" s="8">
        <v>-4427.1400000000003</v>
      </c>
      <c r="F5" s="8">
        <v>-5750</v>
      </c>
      <c r="G5" s="8">
        <v>-929.61</v>
      </c>
      <c r="H5" s="8">
        <v>-5707.38</v>
      </c>
      <c r="I5" s="8">
        <f>(1350+800)*-1</f>
        <v>-2150</v>
      </c>
      <c r="J5" t="s">
        <v>262</v>
      </c>
    </row>
    <row r="6" spans="1:12" ht="15.75" x14ac:dyDescent="0.25">
      <c r="A6" s="29" t="s">
        <v>41</v>
      </c>
      <c r="B6" s="10"/>
      <c r="C6" s="10"/>
      <c r="D6" s="10" t="s">
        <v>237</v>
      </c>
      <c r="E6" s="8">
        <v>-1352.2</v>
      </c>
      <c r="F6" s="8">
        <v>-3500</v>
      </c>
      <c r="G6" s="8">
        <v>-67</v>
      </c>
      <c r="H6" s="8">
        <v>-67</v>
      </c>
      <c r="I6" s="8">
        <v>-3000</v>
      </c>
      <c r="J6" t="s">
        <v>263</v>
      </c>
    </row>
    <row r="7" spans="1:12" ht="15.75" x14ac:dyDescent="0.25">
      <c r="A7" s="29" t="s">
        <v>31</v>
      </c>
      <c r="B7" s="10"/>
      <c r="C7" s="10"/>
      <c r="D7" s="10" t="s">
        <v>238</v>
      </c>
      <c r="E7" s="8">
        <v>-481.51</v>
      </c>
      <c r="F7" s="8">
        <v>-1000</v>
      </c>
      <c r="G7" s="8">
        <v>-754.76</v>
      </c>
      <c r="H7" s="8">
        <v>-754.76</v>
      </c>
      <c r="I7" s="8">
        <v>-1000</v>
      </c>
      <c r="J7" t="s">
        <v>264</v>
      </c>
    </row>
    <row r="8" spans="1:12" ht="15.75" x14ac:dyDescent="0.25">
      <c r="A8" s="29" t="s">
        <v>45</v>
      </c>
      <c r="B8" s="10"/>
      <c r="C8" s="10"/>
      <c r="D8" s="10" t="s">
        <v>238</v>
      </c>
      <c r="E8" s="8">
        <v>0</v>
      </c>
      <c r="F8" s="8">
        <v>0</v>
      </c>
      <c r="G8" s="8">
        <v>0</v>
      </c>
      <c r="H8" s="8">
        <v>0</v>
      </c>
      <c r="I8" s="8">
        <v>-1000</v>
      </c>
    </row>
    <row r="9" spans="1:12" ht="15.75" x14ac:dyDescent="0.25">
      <c r="A9" s="29"/>
      <c r="B9" s="9" t="s">
        <v>38</v>
      </c>
      <c r="C9" s="10"/>
      <c r="D9" s="10"/>
      <c r="E9" s="13">
        <f>SUM(E4:E8)</f>
        <v>-11298.310000000001</v>
      </c>
      <c r="F9" s="13">
        <f>SUM(F4:F8)</f>
        <v>-18810.309999999998</v>
      </c>
      <c r="G9" s="13">
        <f>SUM(G4:G8)</f>
        <v>-4239.6099999999997</v>
      </c>
      <c r="H9" s="13">
        <f>SUM(H4:H8)</f>
        <v>-9312.3799999999992</v>
      </c>
      <c r="I9" s="7">
        <f>SUM(I4:I8)</f>
        <v>-16906.150000000001</v>
      </c>
    </row>
    <row r="10" spans="1:12" ht="15.75" x14ac:dyDescent="0.25">
      <c r="A10" s="29" t="s">
        <v>39</v>
      </c>
      <c r="B10" s="10"/>
      <c r="C10" s="10"/>
      <c r="D10" s="10" t="s">
        <v>239</v>
      </c>
      <c r="E10" s="8">
        <v>14067.83</v>
      </c>
      <c r="F10" s="8">
        <v>14701</v>
      </c>
      <c r="G10" s="8">
        <v>5861.44</v>
      </c>
      <c r="H10" s="8">
        <v>14707.28</v>
      </c>
      <c r="I10" s="8">
        <v>16171.1</v>
      </c>
      <c r="J10" t="s">
        <v>265</v>
      </c>
    </row>
    <row r="11" spans="1:12" ht="15.75" x14ac:dyDescent="0.25">
      <c r="A11" s="29" t="s">
        <v>1</v>
      </c>
      <c r="B11" s="10"/>
      <c r="C11" s="10"/>
      <c r="D11" s="10" t="s">
        <v>239</v>
      </c>
      <c r="E11" s="8">
        <v>3644.61</v>
      </c>
      <c r="F11" s="8">
        <v>3609.31</v>
      </c>
      <c r="G11" s="8">
        <v>299.88</v>
      </c>
      <c r="H11" s="8">
        <v>633.97</v>
      </c>
      <c r="I11" s="8">
        <v>735.05</v>
      </c>
      <c r="J11" t="s">
        <v>266</v>
      </c>
      <c r="L11" s="8"/>
    </row>
    <row r="12" spans="1:12" ht="15.75" x14ac:dyDescent="0.25">
      <c r="A12" s="29" t="s">
        <v>2</v>
      </c>
      <c r="B12" s="10"/>
      <c r="C12" s="10"/>
      <c r="D12" s="10" t="s">
        <v>239</v>
      </c>
      <c r="E12" s="8">
        <v>1900</v>
      </c>
      <c r="F12" s="8">
        <v>500</v>
      </c>
      <c r="G12" s="8">
        <v>0</v>
      </c>
      <c r="H12" s="8">
        <v>100</v>
      </c>
      <c r="I12" s="8">
        <v>0</v>
      </c>
      <c r="J12" t="s">
        <v>267</v>
      </c>
    </row>
    <row r="13" spans="1:12" ht="15.75" x14ac:dyDescent="0.25">
      <c r="A13" s="29"/>
      <c r="B13" s="9" t="s">
        <v>3</v>
      </c>
      <c r="C13" s="10"/>
      <c r="D13" s="10"/>
      <c r="E13" s="13">
        <f>SUM(E10:E12)</f>
        <v>19612.439999999999</v>
      </c>
      <c r="F13" s="13">
        <f>SUM(F10:F12)</f>
        <v>18810.310000000001</v>
      </c>
      <c r="G13" s="13">
        <f>SUM(G10:G12)</f>
        <v>6161.32</v>
      </c>
      <c r="H13" s="13">
        <f>SUM(H10:H12)</f>
        <v>15441.25</v>
      </c>
      <c r="I13" s="7">
        <f>SUM(I10:I12)</f>
        <v>16906.150000000001</v>
      </c>
    </row>
    <row r="14" spans="1:12" ht="15.75" x14ac:dyDescent="0.25">
      <c r="A14" s="30" t="s">
        <v>130</v>
      </c>
      <c r="B14" s="15"/>
      <c r="C14" s="15"/>
      <c r="D14" s="15"/>
      <c r="E14" s="16">
        <f t="shared" ref="E14:H14" si="0">E13+E9</f>
        <v>8314.1299999999974</v>
      </c>
      <c r="F14" s="16">
        <f t="shared" si="0"/>
        <v>0</v>
      </c>
      <c r="G14" s="16">
        <f t="shared" si="0"/>
        <v>1921.71</v>
      </c>
      <c r="H14" s="16">
        <f t="shared" si="0"/>
        <v>6128.8700000000008</v>
      </c>
      <c r="I14" s="16">
        <f>I13+I9</f>
        <v>0</v>
      </c>
    </row>
    <row r="16" spans="1:12" x14ac:dyDescent="0.25">
      <c r="A16" s="7" t="s">
        <v>38</v>
      </c>
      <c r="E16" s="6">
        <f>E9</f>
        <v>-11298.310000000001</v>
      </c>
      <c r="F16" s="6">
        <f t="shared" ref="F16:I16" si="1">F9</f>
        <v>-18810.309999999998</v>
      </c>
      <c r="G16" s="6">
        <f t="shared" si="1"/>
        <v>-4239.6099999999997</v>
      </c>
      <c r="H16" s="6">
        <f>(H9)*-1</f>
        <v>9312.3799999999992</v>
      </c>
      <c r="I16" s="6">
        <f t="shared" si="1"/>
        <v>-16906.150000000001</v>
      </c>
    </row>
    <row r="17" spans="1:11" x14ac:dyDescent="0.25">
      <c r="A17" s="7" t="s">
        <v>3</v>
      </c>
      <c r="E17" s="6">
        <f>E13</f>
        <v>19612.439999999999</v>
      </c>
      <c r="F17" s="6">
        <f t="shared" ref="F17:I17" si="2">F13</f>
        <v>18810.310000000001</v>
      </c>
      <c r="G17" s="6">
        <f t="shared" si="2"/>
        <v>6161.32</v>
      </c>
      <c r="H17" s="6">
        <f t="shared" si="2"/>
        <v>15441.25</v>
      </c>
      <c r="I17" s="6">
        <f t="shared" si="2"/>
        <v>16906.150000000001</v>
      </c>
    </row>
    <row r="18" spans="1:11" ht="15.75" x14ac:dyDescent="0.25">
      <c r="A18" s="30" t="s">
        <v>130</v>
      </c>
      <c r="B18" s="15"/>
      <c r="C18" s="15"/>
      <c r="D18" s="15"/>
      <c r="E18" s="16">
        <f>E16+E17</f>
        <v>8314.1299999999974</v>
      </c>
      <c r="F18" s="16">
        <f t="shared" ref="F18:I18" si="3">F16+F17</f>
        <v>0</v>
      </c>
      <c r="G18" s="16">
        <f t="shared" si="3"/>
        <v>1921.71</v>
      </c>
      <c r="H18" s="16">
        <f t="shared" si="3"/>
        <v>24753.629999999997</v>
      </c>
      <c r="I18" s="16">
        <f t="shared" si="3"/>
        <v>0</v>
      </c>
    </row>
    <row r="20" spans="1:11" ht="28.5" x14ac:dyDescent="0.45">
      <c r="A20" s="31" t="s">
        <v>236</v>
      </c>
      <c r="B20" s="4" t="s">
        <v>244</v>
      </c>
    </row>
    <row r="21" spans="1:11" ht="63.75" x14ac:dyDescent="0.3">
      <c r="A21" s="32" t="s">
        <v>125</v>
      </c>
      <c r="B21" s="10"/>
      <c r="C21" s="10"/>
      <c r="D21" s="10"/>
      <c r="E21" s="24" t="s">
        <v>121</v>
      </c>
      <c r="F21" s="24" t="s">
        <v>123</v>
      </c>
      <c r="G21" s="24" t="s">
        <v>156</v>
      </c>
      <c r="H21" s="24" t="s">
        <v>122</v>
      </c>
      <c r="I21" s="24" t="s">
        <v>215</v>
      </c>
      <c r="J21" s="24" t="s">
        <v>422</v>
      </c>
      <c r="K21" s="24" t="s">
        <v>421</v>
      </c>
    </row>
    <row r="22" spans="1:11" ht="15.75" x14ac:dyDescent="0.25">
      <c r="A22" s="33" t="s">
        <v>159</v>
      </c>
      <c r="B22" s="10"/>
      <c r="C22" s="10"/>
      <c r="D22" s="10" t="s">
        <v>239</v>
      </c>
      <c r="E22" s="8"/>
      <c r="F22" s="19">
        <v>12750</v>
      </c>
      <c r="G22" s="20">
        <v>50</v>
      </c>
      <c r="H22" s="8">
        <v>400</v>
      </c>
      <c r="I22" s="8">
        <f>F22-H22</f>
        <v>12350</v>
      </c>
    </row>
    <row r="23" spans="1:11" ht="15.75" x14ac:dyDescent="0.25">
      <c r="A23" s="33" t="s">
        <v>160</v>
      </c>
      <c r="B23" s="21"/>
      <c r="C23" s="21"/>
      <c r="D23" s="21" t="s">
        <v>237</v>
      </c>
      <c r="E23" s="8"/>
      <c r="F23" s="19">
        <v>21197.8</v>
      </c>
      <c r="G23" s="20">
        <v>0</v>
      </c>
      <c r="H23" s="8">
        <v>10000</v>
      </c>
      <c r="I23" s="8">
        <f>F23-H23</f>
        <v>11197.8</v>
      </c>
    </row>
    <row r="24" spans="1:11" ht="15.75" x14ac:dyDescent="0.25">
      <c r="A24" s="33" t="s">
        <v>194</v>
      </c>
      <c r="B24" s="21"/>
      <c r="C24" s="21"/>
      <c r="D24" s="21" t="s">
        <v>237</v>
      </c>
      <c r="E24" s="8"/>
      <c r="F24" s="19">
        <v>985</v>
      </c>
      <c r="G24" s="20">
        <v>0</v>
      </c>
      <c r="H24" s="8">
        <f>F24</f>
        <v>985</v>
      </c>
      <c r="I24" s="8">
        <f>F24-H24</f>
        <v>0</v>
      </c>
    </row>
    <row r="25" spans="1:11" ht="15.75" x14ac:dyDescent="0.25">
      <c r="A25" s="33" t="s">
        <v>193</v>
      </c>
      <c r="B25" s="21"/>
      <c r="C25" s="21"/>
      <c r="D25" s="21" t="s">
        <v>237</v>
      </c>
      <c r="E25" s="8"/>
      <c r="F25" s="19">
        <v>3460</v>
      </c>
      <c r="G25" s="20">
        <v>3460</v>
      </c>
      <c r="H25" s="8">
        <f t="shared" ref="H25" si="4">G25</f>
        <v>3460</v>
      </c>
      <c r="I25" s="8">
        <f>F25-H25</f>
        <v>0</v>
      </c>
    </row>
    <row r="26" spans="1:11" ht="15.75" x14ac:dyDescent="0.25">
      <c r="A26" s="16"/>
      <c r="B26" s="16"/>
      <c r="C26" s="16"/>
      <c r="D26" s="16"/>
      <c r="E26" s="16">
        <f t="shared" ref="E26:G26" si="5">SUM(E22:E25)</f>
        <v>0</v>
      </c>
      <c r="F26" s="16">
        <f t="shared" si="5"/>
        <v>38392.800000000003</v>
      </c>
      <c r="G26" s="16">
        <f t="shared" si="5"/>
        <v>3510</v>
      </c>
      <c r="H26" s="16">
        <f>SUM(H22:H25)</f>
        <v>14845</v>
      </c>
      <c r="I26" s="16">
        <f>SUM(I22:I25)</f>
        <v>23547.8</v>
      </c>
    </row>
    <row r="30" spans="1:11" x14ac:dyDescent="0.25">
      <c r="G30"/>
      <c r="H30"/>
      <c r="I30"/>
    </row>
  </sheetData>
  <sheetProtection algorithmName="SHA-512" hashValue="9q+uqMd49mqJBWgtkDmCv0PbSwT9QlahaUAZCCLw+fG9Dl/JFEpIkYcx0pqxcARihOivM040a3r9uipSO7O8gA==" saltValue="XtPq8dYSaAwtxY0K+aB1T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5A24E-5986-4595-B66D-FF267FD76B65}">
  <sheetPr>
    <pageSetUpPr fitToPage="1"/>
  </sheetPr>
  <dimension ref="A1:K38"/>
  <sheetViews>
    <sheetView workbookViewId="0">
      <selection activeCell="I29" sqref="I29"/>
    </sheetView>
  </sheetViews>
  <sheetFormatPr defaultColWidth="8.7109375" defaultRowHeight="15" x14ac:dyDescent="0.25"/>
  <cols>
    <col min="1" max="1" width="48.7109375" style="34" customWidth="1"/>
    <col min="5" max="5" width="15.42578125" style="6" customWidth="1"/>
    <col min="6" max="6" width="15.7109375" style="6" customWidth="1"/>
    <col min="7" max="7" width="15" style="6" customWidth="1"/>
    <col min="8" max="8" width="17.42578125" style="6" customWidth="1"/>
    <col min="9" max="9" width="16.28515625" style="6" customWidth="1"/>
    <col min="10" max="10" width="19.7109375" customWidth="1"/>
    <col min="11" max="11" width="28.140625" customWidth="1"/>
  </cols>
  <sheetData>
    <row r="1" spans="1:11" ht="30.75" customHeight="1" x14ac:dyDescent="0.4">
      <c r="A1" s="27" t="s">
        <v>125</v>
      </c>
    </row>
    <row r="2" spans="1:11" ht="42.75" customHeight="1" x14ac:dyDescent="0.55000000000000004">
      <c r="A2" s="48" t="s">
        <v>4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28" t="s">
        <v>42</v>
      </c>
      <c r="B3" s="10"/>
      <c r="C3" s="10"/>
      <c r="D3" s="10" t="s">
        <v>237</v>
      </c>
      <c r="E3" s="6">
        <v>-5468.98</v>
      </c>
      <c r="F3" s="6">
        <v>-7500</v>
      </c>
      <c r="G3" s="6">
        <v>-3454.23</v>
      </c>
      <c r="H3" s="6">
        <v>-6334.23</v>
      </c>
      <c r="I3" s="6">
        <v>-6500</v>
      </c>
      <c r="J3" t="s">
        <v>268</v>
      </c>
    </row>
    <row r="4" spans="1:11" ht="15.75" x14ac:dyDescent="0.25">
      <c r="A4" s="28" t="s">
        <v>43</v>
      </c>
      <c r="B4" s="10"/>
      <c r="C4" s="10"/>
      <c r="D4" s="10" t="s">
        <v>237</v>
      </c>
      <c r="E4" s="6">
        <v>-4598.12</v>
      </c>
      <c r="F4" s="6">
        <v>-13000</v>
      </c>
      <c r="G4" s="6">
        <v>0</v>
      </c>
      <c r="H4" s="6">
        <v>-3000</v>
      </c>
      <c r="I4" s="6">
        <v>0</v>
      </c>
      <c r="J4" t="s">
        <v>269</v>
      </c>
    </row>
    <row r="5" spans="1:11" ht="15.75" x14ac:dyDescent="0.25">
      <c r="A5" s="28" t="s">
        <v>44</v>
      </c>
      <c r="B5" s="10"/>
      <c r="C5" s="10"/>
      <c r="D5" s="10" t="s">
        <v>238</v>
      </c>
      <c r="E5" s="6">
        <v>0</v>
      </c>
      <c r="F5" s="6">
        <v>0</v>
      </c>
      <c r="G5" s="6">
        <v>0</v>
      </c>
      <c r="H5" s="6">
        <v>0</v>
      </c>
      <c r="I5" s="6">
        <v>-4000</v>
      </c>
      <c r="J5" t="s">
        <v>270</v>
      </c>
      <c r="K5" t="s">
        <v>271</v>
      </c>
    </row>
    <row r="6" spans="1:11" ht="15.75" x14ac:dyDescent="0.25">
      <c r="A6" s="28" t="s">
        <v>33</v>
      </c>
      <c r="B6" s="10"/>
      <c r="C6" s="10"/>
      <c r="D6" s="10" t="s">
        <v>238</v>
      </c>
      <c r="E6" s="6">
        <v>-40</v>
      </c>
      <c r="F6" s="6">
        <v>-300</v>
      </c>
      <c r="G6" s="6">
        <v>-283.7</v>
      </c>
      <c r="H6" s="6">
        <v>-295.85000000000002</v>
      </c>
      <c r="I6" s="6">
        <v>-300</v>
      </c>
      <c r="J6" t="s">
        <v>272</v>
      </c>
    </row>
    <row r="7" spans="1:11" ht="15.75" x14ac:dyDescent="0.25">
      <c r="A7" s="28" t="s">
        <v>32</v>
      </c>
      <c r="B7" s="10"/>
      <c r="C7" s="10"/>
      <c r="D7" s="10" t="s">
        <v>241</v>
      </c>
      <c r="E7" s="6">
        <v>-14460</v>
      </c>
      <c r="F7" s="6">
        <v>-16000</v>
      </c>
      <c r="G7" s="6">
        <v>-8805</v>
      </c>
      <c r="H7" s="6">
        <v>-16000</v>
      </c>
      <c r="I7" s="6">
        <v>-16000</v>
      </c>
      <c r="J7" t="s">
        <v>273</v>
      </c>
      <c r="K7" t="s">
        <v>305</v>
      </c>
    </row>
    <row r="8" spans="1:11" ht="15.75" x14ac:dyDescent="0.25">
      <c r="A8" s="29"/>
      <c r="B8" s="9" t="s">
        <v>38</v>
      </c>
      <c r="C8" s="10"/>
      <c r="D8" s="10"/>
      <c r="E8" s="7">
        <f>SUM(E3:E7)</f>
        <v>-24567.1</v>
      </c>
      <c r="F8" s="7">
        <f t="shared" ref="F8:H8" si="0">SUM(F3:F7)</f>
        <v>-36800</v>
      </c>
      <c r="G8" s="7">
        <f t="shared" si="0"/>
        <v>-12542.93</v>
      </c>
      <c r="H8" s="7">
        <f t="shared" si="0"/>
        <v>-25630.080000000002</v>
      </c>
      <c r="I8" s="7">
        <f>SUM(I3:I7)</f>
        <v>-26800</v>
      </c>
    </row>
    <row r="9" spans="1:11" ht="15.75" x14ac:dyDescent="0.25">
      <c r="A9" s="28" t="s">
        <v>5</v>
      </c>
      <c r="B9" s="10"/>
      <c r="C9" s="10"/>
      <c r="D9" s="10" t="s">
        <v>241</v>
      </c>
      <c r="E9" s="6">
        <v>18610</v>
      </c>
      <c r="F9" s="6">
        <v>20000</v>
      </c>
      <c r="G9" s="6">
        <v>10767</v>
      </c>
      <c r="H9" s="6">
        <v>25524</v>
      </c>
      <c r="I9" s="6">
        <v>26000</v>
      </c>
      <c r="J9" t="s">
        <v>274</v>
      </c>
    </row>
    <row r="10" spans="1:11" ht="15.75" x14ac:dyDescent="0.25">
      <c r="A10" s="28" t="s">
        <v>6</v>
      </c>
      <c r="B10" s="10"/>
      <c r="C10" s="10"/>
      <c r="D10" s="10" t="s">
        <v>241</v>
      </c>
      <c r="E10" s="6">
        <v>25915.85</v>
      </c>
      <c r="F10" s="6">
        <v>15000</v>
      </c>
      <c r="G10" s="6">
        <v>15935</v>
      </c>
      <c r="H10" s="6">
        <v>20533</v>
      </c>
      <c r="I10" s="6">
        <v>21000</v>
      </c>
      <c r="J10" t="s">
        <v>275</v>
      </c>
    </row>
    <row r="11" spans="1:11" ht="15.75" x14ac:dyDescent="0.25">
      <c r="A11" s="28" t="s">
        <v>7</v>
      </c>
      <c r="B11" s="10"/>
      <c r="C11" s="10"/>
      <c r="D11" s="10" t="s">
        <v>241</v>
      </c>
      <c r="E11" s="6">
        <v>4095</v>
      </c>
      <c r="F11" s="6">
        <v>2500</v>
      </c>
      <c r="G11" s="6">
        <v>1841</v>
      </c>
      <c r="H11" s="6">
        <v>3726</v>
      </c>
      <c r="I11" s="6">
        <v>4000</v>
      </c>
      <c r="J11" t="s">
        <v>276</v>
      </c>
    </row>
    <row r="12" spans="1:11" ht="15.75" x14ac:dyDescent="0.25">
      <c r="A12" s="28" t="s">
        <v>8</v>
      </c>
      <c r="B12" s="10"/>
      <c r="C12" s="10"/>
      <c r="D12" s="10" t="s">
        <v>241</v>
      </c>
      <c r="E12" s="6">
        <v>574</v>
      </c>
      <c r="F12" s="6">
        <v>500</v>
      </c>
      <c r="G12" s="6">
        <v>2179.2800000000002</v>
      </c>
      <c r="H12" s="6">
        <v>2561.7800000000002</v>
      </c>
      <c r="I12" s="6">
        <v>2500</v>
      </c>
      <c r="J12" t="s">
        <v>277</v>
      </c>
    </row>
    <row r="13" spans="1:11" ht="15.75" x14ac:dyDescent="0.25">
      <c r="A13" s="29"/>
      <c r="B13" s="9" t="s">
        <v>3</v>
      </c>
      <c r="C13" s="10"/>
      <c r="D13" s="10"/>
      <c r="E13" s="7">
        <f>SUM(E9:E12)</f>
        <v>49194.85</v>
      </c>
      <c r="F13" s="7">
        <f>SUM(F9:F12)</f>
        <v>38000</v>
      </c>
      <c r="G13" s="7">
        <f>SUM(G9:G12)</f>
        <v>30722.28</v>
      </c>
      <c r="H13" s="7">
        <f>SUM(H9:H12)</f>
        <v>52344.78</v>
      </c>
      <c r="I13" s="7">
        <f>SUM(I9:I12)</f>
        <v>53500</v>
      </c>
    </row>
    <row r="14" spans="1:11" ht="15.75" x14ac:dyDescent="0.25">
      <c r="A14" s="30" t="s">
        <v>131</v>
      </c>
      <c r="B14" s="14"/>
      <c r="C14" s="14"/>
      <c r="D14" s="14"/>
      <c r="E14" s="16">
        <f>E8+E13</f>
        <v>24627.75</v>
      </c>
      <c r="F14" s="16">
        <f>F8+F13</f>
        <v>1200</v>
      </c>
      <c r="G14" s="16">
        <f>G8+G13</f>
        <v>18179.349999999999</v>
      </c>
      <c r="H14" s="16">
        <f>H8+H13</f>
        <v>26714.699999999997</v>
      </c>
      <c r="I14" s="16">
        <f>I8+I13</f>
        <v>26700</v>
      </c>
    </row>
    <row r="16" spans="1:11" ht="31.5" x14ac:dyDescent="0.25">
      <c r="A16" s="9" t="s">
        <v>64</v>
      </c>
      <c r="B16" s="10"/>
      <c r="C16" s="10"/>
      <c r="D16" s="10"/>
      <c r="E16" s="24" t="s">
        <v>121</v>
      </c>
      <c r="F16" s="24" t="s">
        <v>123</v>
      </c>
      <c r="G16" s="24" t="s">
        <v>156</v>
      </c>
      <c r="H16" s="24" t="s">
        <v>122</v>
      </c>
      <c r="I16" s="24" t="s">
        <v>124</v>
      </c>
      <c r="J16" s="24" t="s">
        <v>422</v>
      </c>
      <c r="K16" s="24" t="s">
        <v>421</v>
      </c>
    </row>
    <row r="17" spans="1:11" ht="15.75" x14ac:dyDescent="0.25">
      <c r="A17" s="12" t="s">
        <v>61</v>
      </c>
      <c r="B17" s="10"/>
      <c r="C17" s="10"/>
      <c r="D17" s="10" t="s">
        <v>242</v>
      </c>
      <c r="E17" s="6">
        <v>-880</v>
      </c>
      <c r="F17" s="6">
        <v>-500</v>
      </c>
      <c r="G17" s="6">
        <v>0</v>
      </c>
      <c r="H17" s="6">
        <v>0</v>
      </c>
      <c r="I17" s="6">
        <v>0</v>
      </c>
      <c r="J17" t="s">
        <v>278</v>
      </c>
    </row>
    <row r="18" spans="1:11" ht="15.75" x14ac:dyDescent="0.25">
      <c r="A18" s="10"/>
      <c r="B18" s="9" t="s">
        <v>38</v>
      </c>
      <c r="C18" s="10"/>
      <c r="D18" s="10"/>
      <c r="E18" s="7">
        <f>SUM(E17)</f>
        <v>-880</v>
      </c>
      <c r="F18" s="7">
        <f t="shared" ref="F18:I18" si="1">SUM(F17)</f>
        <v>-500</v>
      </c>
      <c r="G18" s="7">
        <f t="shared" si="1"/>
        <v>0</v>
      </c>
      <c r="H18" s="7">
        <f t="shared" si="1"/>
        <v>0</v>
      </c>
      <c r="I18" s="7">
        <f t="shared" si="1"/>
        <v>0</v>
      </c>
    </row>
    <row r="19" spans="1:11" ht="15.75" x14ac:dyDescent="0.25">
      <c r="A19" s="10" t="s">
        <v>280</v>
      </c>
      <c r="B19" s="10"/>
      <c r="C19" s="10"/>
      <c r="D19" s="10" t="s">
        <v>238</v>
      </c>
      <c r="E19" s="6">
        <v>4657.84</v>
      </c>
      <c r="F19" s="6">
        <v>10200</v>
      </c>
      <c r="G19" s="6">
        <v>3977.42</v>
      </c>
      <c r="H19" s="6">
        <v>8465.42</v>
      </c>
      <c r="I19" s="6">
        <v>8000</v>
      </c>
      <c r="J19" t="s">
        <v>279</v>
      </c>
      <c r="K19" s="6"/>
    </row>
    <row r="20" spans="1:11" ht="15.75" x14ac:dyDescent="0.25">
      <c r="A20" s="10"/>
      <c r="B20" s="9" t="s">
        <v>3</v>
      </c>
      <c r="C20" s="10"/>
      <c r="D20" s="10"/>
      <c r="E20" s="7">
        <f>SUM(E19:E19)</f>
        <v>4657.84</v>
      </c>
      <c r="F20" s="7">
        <f>SUM(F19:F19)</f>
        <v>10200</v>
      </c>
      <c r="G20" s="7">
        <f>SUM(G19:G19)</f>
        <v>3977.42</v>
      </c>
      <c r="H20" s="7">
        <f>SUM(H19:H19)</f>
        <v>8465.42</v>
      </c>
      <c r="I20" s="7">
        <f>SUM(I19:I19)</f>
        <v>8000</v>
      </c>
    </row>
    <row r="21" spans="1:11" ht="15.75" x14ac:dyDescent="0.25">
      <c r="A21" s="14" t="s">
        <v>145</v>
      </c>
      <c r="B21" s="17"/>
      <c r="C21" s="14"/>
      <c r="D21" s="14"/>
      <c r="E21" s="16">
        <f>E18+E20</f>
        <v>3777.84</v>
      </c>
      <c r="F21" s="16">
        <f>F18+F20</f>
        <v>9700</v>
      </c>
      <c r="G21" s="16">
        <f>G18+G20</f>
        <v>3977.42</v>
      </c>
      <c r="H21" s="16">
        <f>H18+H20</f>
        <v>8465.42</v>
      </c>
      <c r="I21" s="16">
        <f>I18+I20</f>
        <v>8000</v>
      </c>
    </row>
    <row r="23" spans="1:11" x14ac:dyDescent="0.25">
      <c r="A23" s="7" t="s">
        <v>38</v>
      </c>
      <c r="E23" s="6">
        <f>E8+E18</f>
        <v>-25447.1</v>
      </c>
      <c r="F23" s="6">
        <f>F8+F18</f>
        <v>-37300</v>
      </c>
      <c r="G23" s="6">
        <f>G8+G18</f>
        <v>-12542.93</v>
      </c>
      <c r="H23" s="6">
        <f>H8+H18</f>
        <v>-25630.080000000002</v>
      </c>
      <c r="I23" s="6">
        <f>I8+I18</f>
        <v>-26800</v>
      </c>
    </row>
    <row r="24" spans="1:11" x14ac:dyDescent="0.25">
      <c r="A24" s="7" t="s">
        <v>3</v>
      </c>
      <c r="E24" s="6">
        <f>E13+E20</f>
        <v>53852.69</v>
      </c>
      <c r="F24" s="6">
        <f>F13+F20</f>
        <v>48200</v>
      </c>
      <c r="G24" s="6">
        <f>G13+G20</f>
        <v>34699.699999999997</v>
      </c>
      <c r="H24" s="6">
        <f>H13+H20</f>
        <v>60810.2</v>
      </c>
      <c r="I24" s="6">
        <f>I13+I20</f>
        <v>61500</v>
      </c>
    </row>
    <row r="25" spans="1:11" x14ac:dyDescent="0.25">
      <c r="A25" s="40" t="s">
        <v>209</v>
      </c>
      <c r="B25" s="38"/>
      <c r="C25" s="38"/>
      <c r="D25" s="38"/>
      <c r="E25" s="37">
        <f>E23+E24</f>
        <v>28405.590000000004</v>
      </c>
      <c r="F25" s="37">
        <f t="shared" ref="F25:H25" si="2">F23+F24</f>
        <v>10900</v>
      </c>
      <c r="G25" s="37">
        <f t="shared" si="2"/>
        <v>22156.769999999997</v>
      </c>
      <c r="H25" s="37">
        <f t="shared" si="2"/>
        <v>35180.119999999995</v>
      </c>
      <c r="I25" s="37">
        <f>I23+I24</f>
        <v>34700</v>
      </c>
    </row>
    <row r="26" spans="1:11" x14ac:dyDescent="0.25">
      <c r="A26"/>
      <c r="E26"/>
      <c r="F26"/>
      <c r="G26"/>
      <c r="H26"/>
      <c r="I26"/>
    </row>
    <row r="27" spans="1:11" ht="28.5" x14ac:dyDescent="0.45">
      <c r="A27" s="31" t="s">
        <v>236</v>
      </c>
      <c r="B27" s="4" t="s">
        <v>244</v>
      </c>
    </row>
    <row r="28" spans="1:11" ht="63.75" x14ac:dyDescent="0.3">
      <c r="A28" s="32" t="s">
        <v>125</v>
      </c>
      <c r="B28" s="10"/>
      <c r="C28" s="10"/>
      <c r="D28" s="10"/>
      <c r="E28" s="24" t="s">
        <v>121</v>
      </c>
      <c r="F28" s="24" t="s">
        <v>123</v>
      </c>
      <c r="G28" s="24" t="s">
        <v>156</v>
      </c>
      <c r="H28" s="24" t="s">
        <v>122</v>
      </c>
      <c r="I28" s="24" t="s">
        <v>215</v>
      </c>
      <c r="J28" s="24" t="s">
        <v>422</v>
      </c>
      <c r="K28" s="24" t="s">
        <v>421</v>
      </c>
    </row>
    <row r="29" spans="1:11" ht="31.5" x14ac:dyDescent="0.25">
      <c r="A29" s="33" t="s">
        <v>176</v>
      </c>
      <c r="D29" t="s">
        <v>242</v>
      </c>
      <c r="F29" s="6">
        <v>8584.77</v>
      </c>
      <c r="G29" s="6">
        <v>0</v>
      </c>
      <c r="H29" s="6">
        <v>194.64</v>
      </c>
      <c r="I29" s="6">
        <f>F29-H29</f>
        <v>8390.130000000001</v>
      </c>
      <c r="J29" t="s">
        <v>281</v>
      </c>
    </row>
    <row r="30" spans="1:11" ht="31.5" x14ac:dyDescent="0.25">
      <c r="A30" s="33" t="s">
        <v>178</v>
      </c>
      <c r="D30" t="s">
        <v>242</v>
      </c>
      <c r="F30" s="6">
        <v>52438.27</v>
      </c>
      <c r="G30" s="6">
        <v>635.71</v>
      </c>
      <c r="H30" s="6">
        <v>635.71</v>
      </c>
      <c r="I30" s="6">
        <f t="shared" ref="I30:I32" si="3">F30-H30</f>
        <v>51802.559999999998</v>
      </c>
      <c r="J30" t="s">
        <v>282</v>
      </c>
      <c r="K30" s="6"/>
    </row>
    <row r="31" spans="1:11" ht="31.5" x14ac:dyDescent="0.25">
      <c r="A31" s="33" t="s">
        <v>175</v>
      </c>
      <c r="B31" s="21"/>
      <c r="C31" s="21"/>
      <c r="D31" t="s">
        <v>242</v>
      </c>
      <c r="E31" s="8"/>
      <c r="F31" s="8">
        <v>17287.16</v>
      </c>
      <c r="G31" s="6">
        <v>0</v>
      </c>
      <c r="H31" s="6">
        <v>0</v>
      </c>
      <c r="I31" s="6">
        <f t="shared" si="3"/>
        <v>17287.16</v>
      </c>
      <c r="J31" t="s">
        <v>283</v>
      </c>
    </row>
    <row r="32" spans="1:11" ht="15.75" x14ac:dyDescent="0.25">
      <c r="A32" s="33" t="s">
        <v>195</v>
      </c>
      <c r="D32" t="s">
        <v>242</v>
      </c>
      <c r="F32" s="6">
        <v>2000</v>
      </c>
      <c r="G32" s="6">
        <v>2000</v>
      </c>
      <c r="H32" s="6">
        <v>2000</v>
      </c>
      <c r="I32" s="6">
        <f t="shared" si="3"/>
        <v>0</v>
      </c>
      <c r="J32" t="s">
        <v>285</v>
      </c>
    </row>
    <row r="33" spans="1:11" ht="15.75" x14ac:dyDescent="0.25">
      <c r="A33" s="30"/>
      <c r="B33" s="14"/>
      <c r="C33" s="14"/>
      <c r="D33" s="14"/>
      <c r="E33" s="16">
        <f t="shared" ref="E33" si="4">SUM(E29:E31)</f>
        <v>0</v>
      </c>
      <c r="F33" s="16">
        <f>SUM(F29:F32)</f>
        <v>80310.2</v>
      </c>
      <c r="G33" s="16">
        <f t="shared" ref="G33:H33" si="5">SUM(G29:G32)</f>
        <v>2635.71</v>
      </c>
      <c r="H33" s="16">
        <f t="shared" si="5"/>
        <v>2830.35</v>
      </c>
      <c r="I33" s="16">
        <f>SUM(I29:I32)</f>
        <v>77479.850000000006</v>
      </c>
    </row>
    <row r="35" spans="1:11" ht="28.5" x14ac:dyDescent="0.45">
      <c r="A35" s="31" t="s">
        <v>235</v>
      </c>
      <c r="B35" s="4" t="s">
        <v>243</v>
      </c>
    </row>
    <row r="36" spans="1:11" ht="63.75" x14ac:dyDescent="0.3">
      <c r="A36" s="32" t="s">
        <v>125</v>
      </c>
      <c r="B36" s="10"/>
      <c r="C36" s="10"/>
      <c r="D36" s="10"/>
      <c r="E36" s="24" t="s">
        <v>121</v>
      </c>
      <c r="F36" s="24" t="s">
        <v>123</v>
      </c>
      <c r="G36" s="24" t="s">
        <v>156</v>
      </c>
      <c r="H36" s="24" t="s">
        <v>122</v>
      </c>
      <c r="I36" s="24" t="s">
        <v>215</v>
      </c>
      <c r="J36" s="24" t="s">
        <v>422</v>
      </c>
      <c r="K36" s="24" t="s">
        <v>421</v>
      </c>
    </row>
    <row r="37" spans="1:11" ht="15.75" x14ac:dyDescent="0.25">
      <c r="A37" s="33" t="s">
        <v>177</v>
      </c>
      <c r="D37" t="s">
        <v>238</v>
      </c>
      <c r="F37" s="6">
        <v>20811.920000000002</v>
      </c>
      <c r="G37" s="6">
        <v>0</v>
      </c>
      <c r="H37" s="6">
        <v>20700</v>
      </c>
      <c r="I37" s="6">
        <f>F37-H37</f>
        <v>111.92000000000189</v>
      </c>
      <c r="J37" t="s">
        <v>284</v>
      </c>
    </row>
    <row r="38" spans="1:11" ht="15.75" x14ac:dyDescent="0.25">
      <c r="A38" s="16"/>
      <c r="B38" s="16"/>
      <c r="C38" s="16"/>
      <c r="D38" s="16"/>
      <c r="E38" s="16">
        <f>SUM(E37:E37)</f>
        <v>0</v>
      </c>
      <c r="F38" s="16">
        <f>SUM(F37:F37)</f>
        <v>20811.920000000002</v>
      </c>
      <c r="G38" s="16">
        <f>SUM(G37:G37)</f>
        <v>0</v>
      </c>
      <c r="H38" s="16">
        <f>SUM(H37:H37)</f>
        <v>20700</v>
      </c>
      <c r="I38" s="16">
        <f>SUM(I37:I37)</f>
        <v>111.92000000000189</v>
      </c>
    </row>
  </sheetData>
  <sheetProtection algorithmName="SHA-512" hashValue="umPXkwB13W/WAT2WZrBppa14qs2NQ39FG7Mn7vcptmw379fTIiZVTZ12vK/AphYPZdTvSCOxM5xYRnTxUXOEfg==" saltValue="KCPPk2vIUF1JWCL2lDNAD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312F0-FC5B-4763-8A15-EB9EB1F25211}">
  <sheetPr>
    <pageSetUpPr fitToPage="1"/>
  </sheetPr>
  <dimension ref="A1:L40"/>
  <sheetViews>
    <sheetView workbookViewId="0">
      <selection activeCell="I16" sqref="I16"/>
    </sheetView>
  </sheetViews>
  <sheetFormatPr defaultColWidth="8.7109375" defaultRowHeight="15" x14ac:dyDescent="0.25"/>
  <cols>
    <col min="1" max="1" width="26.42578125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  <col min="10" max="10" width="19.42578125" customWidth="1"/>
    <col min="11" max="11" width="24.42578125" customWidth="1"/>
    <col min="13" max="13" width="11.42578125" bestFit="1" customWidth="1"/>
  </cols>
  <sheetData>
    <row r="1" spans="1:12" ht="72" x14ac:dyDescent="0.4">
      <c r="A1" s="27" t="s">
        <v>125</v>
      </c>
    </row>
    <row r="2" spans="1:12" ht="33.75" x14ac:dyDescent="0.4">
      <c r="A2" s="5" t="s">
        <v>26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2" ht="15.75" x14ac:dyDescent="0.25">
      <c r="A3" s="10" t="s">
        <v>56</v>
      </c>
      <c r="B3" s="10"/>
      <c r="C3" s="10"/>
      <c r="D3" s="10" t="s">
        <v>242</v>
      </c>
      <c r="E3" s="6">
        <v>-8824.5300000000007</v>
      </c>
      <c r="F3" s="6">
        <v>0</v>
      </c>
      <c r="G3" s="6">
        <v>0</v>
      </c>
      <c r="H3" s="6">
        <v>0</v>
      </c>
      <c r="I3" s="57">
        <v>-16000</v>
      </c>
      <c r="J3" t="s">
        <v>270</v>
      </c>
      <c r="K3" t="s">
        <v>413</v>
      </c>
    </row>
    <row r="4" spans="1:12" ht="15.75" x14ac:dyDescent="0.25">
      <c r="A4" s="10" t="s">
        <v>57</v>
      </c>
      <c r="B4" s="10"/>
      <c r="C4" s="10"/>
      <c r="D4" s="10" t="s">
        <v>242</v>
      </c>
      <c r="E4" s="6">
        <v>-31339.81</v>
      </c>
      <c r="F4" s="6">
        <v>-36500</v>
      </c>
      <c r="G4" s="6">
        <v>-20013.73</v>
      </c>
      <c r="H4" s="6">
        <v>-30823.22</v>
      </c>
      <c r="I4" s="6">
        <v>-36500</v>
      </c>
      <c r="J4" t="s">
        <v>289</v>
      </c>
    </row>
    <row r="5" spans="1:12" ht="15.75" x14ac:dyDescent="0.25">
      <c r="A5" s="10" t="s">
        <v>58</v>
      </c>
      <c r="B5" s="10"/>
      <c r="C5" s="10"/>
      <c r="D5" s="10" t="s">
        <v>242</v>
      </c>
      <c r="E5" s="6">
        <v>-8796.7099999999991</v>
      </c>
      <c r="F5" s="6">
        <v>-7250</v>
      </c>
      <c r="G5" s="6">
        <v>-2304.21</v>
      </c>
      <c r="H5" s="6">
        <v>-5020.6099999999997</v>
      </c>
      <c r="I5" s="6">
        <v>-7500</v>
      </c>
      <c r="J5" t="s">
        <v>290</v>
      </c>
    </row>
    <row r="6" spans="1:12" ht="15.75" x14ac:dyDescent="0.25">
      <c r="A6" s="10" t="s">
        <v>28</v>
      </c>
      <c r="B6" s="10"/>
      <c r="C6" s="10"/>
      <c r="D6" s="10" t="s">
        <v>242</v>
      </c>
      <c r="E6" s="6">
        <v>-3651.5</v>
      </c>
      <c r="F6" s="6">
        <v>-4500</v>
      </c>
      <c r="G6" s="6">
        <v>-3096.67</v>
      </c>
      <c r="H6" s="6">
        <v>-4206.67</v>
      </c>
      <c r="I6" s="6">
        <v>-4500</v>
      </c>
      <c r="J6" t="s">
        <v>291</v>
      </c>
      <c r="L6" s="6"/>
    </row>
    <row r="7" spans="1:12" ht="15.75" x14ac:dyDescent="0.25">
      <c r="A7" s="10"/>
      <c r="B7" s="9" t="s">
        <v>38</v>
      </c>
      <c r="C7" s="10"/>
      <c r="D7" s="10"/>
      <c r="E7" s="7">
        <f>(SUM(E3:E6))</f>
        <v>-52612.55</v>
      </c>
      <c r="F7" s="7">
        <f>(SUM(F3:F6))</f>
        <v>-48250</v>
      </c>
      <c r="G7" s="7">
        <f>(SUM(G3:G6))</f>
        <v>-25414.61</v>
      </c>
      <c r="H7" s="7">
        <f>(SUM(H3:H6))</f>
        <v>-40050.5</v>
      </c>
      <c r="I7" s="7">
        <f>(SUM(I3:I6))</f>
        <v>-64500</v>
      </c>
    </row>
    <row r="8" spans="1:12" ht="15.75" x14ac:dyDescent="0.25">
      <c r="A8" s="14" t="s">
        <v>132</v>
      </c>
      <c r="B8" s="14"/>
      <c r="C8" s="14"/>
      <c r="D8" s="14"/>
      <c r="E8" s="16">
        <f>E7</f>
        <v>-52612.55</v>
      </c>
      <c r="F8" s="16">
        <f>F7</f>
        <v>-48250</v>
      </c>
      <c r="G8" s="16">
        <f>G7</f>
        <v>-25414.61</v>
      </c>
      <c r="H8" s="16">
        <f>H7</f>
        <v>-40050.5</v>
      </c>
      <c r="I8" s="16">
        <f>I7</f>
        <v>-64500</v>
      </c>
    </row>
    <row r="10" spans="1:12" ht="31.5" x14ac:dyDescent="0.25">
      <c r="A10" s="9" t="s">
        <v>15</v>
      </c>
      <c r="B10" s="10"/>
      <c r="C10" s="10"/>
      <c r="D10" s="10"/>
      <c r="E10" s="24" t="s">
        <v>121</v>
      </c>
      <c r="F10" s="24" t="s">
        <v>123</v>
      </c>
      <c r="G10" s="24" t="s">
        <v>156</v>
      </c>
      <c r="H10" s="24" t="s">
        <v>122</v>
      </c>
      <c r="I10" s="24" t="s">
        <v>124</v>
      </c>
      <c r="J10" s="24" t="s">
        <v>422</v>
      </c>
      <c r="K10" s="24" t="s">
        <v>421</v>
      </c>
    </row>
    <row r="11" spans="1:12" ht="15.75" x14ac:dyDescent="0.25">
      <c r="A11" s="12" t="s">
        <v>292</v>
      </c>
      <c r="B11" s="10"/>
      <c r="C11" s="10"/>
      <c r="D11" s="10" t="s">
        <v>238</v>
      </c>
      <c r="E11" s="6">
        <v>-139</v>
      </c>
      <c r="F11" s="6">
        <v>-150</v>
      </c>
      <c r="G11" s="6">
        <v>0</v>
      </c>
      <c r="H11" s="6">
        <v>0</v>
      </c>
      <c r="I11" s="6">
        <v>-150</v>
      </c>
      <c r="J11" t="s">
        <v>293</v>
      </c>
    </row>
    <row r="12" spans="1:12" ht="15.75" x14ac:dyDescent="0.25">
      <c r="A12" s="12"/>
      <c r="B12" s="9" t="s">
        <v>38</v>
      </c>
      <c r="C12" s="10"/>
      <c r="D12" s="10"/>
      <c r="E12" s="7">
        <f>SUM(E11:E11)</f>
        <v>-139</v>
      </c>
      <c r="F12" s="7">
        <f>SUM(F11:F11)</f>
        <v>-150</v>
      </c>
      <c r="G12" s="7">
        <f>SUM(G11:G11)</f>
        <v>0</v>
      </c>
      <c r="H12" s="7">
        <f>SUM(H11:H11)</f>
        <v>0</v>
      </c>
      <c r="I12" s="7">
        <f>SUM(I11:I11)</f>
        <v>-150</v>
      </c>
    </row>
    <row r="13" spans="1:12" ht="15.75" x14ac:dyDescent="0.25">
      <c r="A13" s="12" t="s">
        <v>15</v>
      </c>
      <c r="B13" s="10"/>
      <c r="C13" s="10"/>
      <c r="D13" s="10" t="s">
        <v>238</v>
      </c>
      <c r="E13" s="6">
        <v>16780.5</v>
      </c>
      <c r="F13" s="6">
        <f>22170+1500</f>
        <v>23670</v>
      </c>
      <c r="G13" s="6">
        <v>21999.96</v>
      </c>
      <c r="H13" s="6">
        <v>22487.86</v>
      </c>
      <c r="I13" s="6">
        <v>25000</v>
      </c>
      <c r="J13" t="s">
        <v>294</v>
      </c>
    </row>
    <row r="14" spans="1:12" ht="15.75" x14ac:dyDescent="0.25">
      <c r="A14" s="12" t="s">
        <v>59</v>
      </c>
      <c r="B14" s="10"/>
      <c r="C14" s="10"/>
      <c r="D14" s="10" t="s">
        <v>238</v>
      </c>
      <c r="E14" s="6">
        <v>14902</v>
      </c>
      <c r="F14" s="6">
        <v>10000</v>
      </c>
      <c r="G14" s="6">
        <v>5120</v>
      </c>
      <c r="H14" s="6">
        <v>6625</v>
      </c>
      <c r="I14" s="6">
        <v>10000</v>
      </c>
      <c r="J14" t="s">
        <v>295</v>
      </c>
    </row>
    <row r="15" spans="1:12" ht="15.75" x14ac:dyDescent="0.25">
      <c r="A15" s="12"/>
      <c r="B15" s="9" t="s">
        <v>3</v>
      </c>
      <c r="C15" s="10"/>
      <c r="D15" s="10"/>
      <c r="E15" s="7">
        <f>SUM(E13:E14)</f>
        <v>31682.5</v>
      </c>
      <c r="F15" s="7">
        <f>SUM(F13:F14)</f>
        <v>33670</v>
      </c>
      <c r="G15" s="7">
        <f>SUM(G13:G14)</f>
        <v>27119.96</v>
      </c>
      <c r="H15" s="7">
        <f>SUM(H13:H14)</f>
        <v>29112.86</v>
      </c>
      <c r="I15" s="7">
        <f>SUM(I13:I14)</f>
        <v>35000</v>
      </c>
    </row>
    <row r="16" spans="1:12" ht="15.75" x14ac:dyDescent="0.25">
      <c r="A16" s="17" t="s">
        <v>142</v>
      </c>
      <c r="B16" s="14"/>
      <c r="C16" s="14"/>
      <c r="D16" s="14"/>
      <c r="E16" s="16">
        <f t="shared" ref="E16:H16" si="0">E12+E15</f>
        <v>31543.5</v>
      </c>
      <c r="F16" s="16">
        <f t="shared" si="0"/>
        <v>33520</v>
      </c>
      <c r="G16" s="16">
        <f t="shared" si="0"/>
        <v>27119.96</v>
      </c>
      <c r="H16" s="16">
        <f t="shared" si="0"/>
        <v>29112.86</v>
      </c>
      <c r="I16" s="16">
        <f>I12+I15</f>
        <v>34850</v>
      </c>
    </row>
    <row r="17" spans="1:11" ht="16.5" customHeight="1" x14ac:dyDescent="0.25"/>
    <row r="18" spans="1:11" x14ac:dyDescent="0.25">
      <c r="A18" s="7" t="s">
        <v>38</v>
      </c>
      <c r="E18" s="6">
        <f>E7+E12</f>
        <v>-52751.55</v>
      </c>
      <c r="F18" s="6">
        <f>F7+F12</f>
        <v>-48400</v>
      </c>
      <c r="G18" s="6">
        <f>G7+G12</f>
        <v>-25414.61</v>
      </c>
      <c r="H18" s="6">
        <f>H7+H12</f>
        <v>-40050.5</v>
      </c>
      <c r="I18" s="6">
        <f>I7+I12</f>
        <v>-64650</v>
      </c>
    </row>
    <row r="19" spans="1:11" x14ac:dyDescent="0.25">
      <c r="A19" s="7" t="s">
        <v>3</v>
      </c>
      <c r="E19" s="6">
        <f>E15</f>
        <v>31682.5</v>
      </c>
      <c r="F19" s="6">
        <f t="shared" ref="F19:I19" si="1">F15</f>
        <v>33670</v>
      </c>
      <c r="G19" s="6">
        <f t="shared" si="1"/>
        <v>27119.96</v>
      </c>
      <c r="H19" s="6">
        <f t="shared" si="1"/>
        <v>29112.86</v>
      </c>
      <c r="I19" s="6">
        <f t="shared" si="1"/>
        <v>35000</v>
      </c>
    </row>
    <row r="20" spans="1:11" ht="15.75" x14ac:dyDescent="0.25">
      <c r="A20" s="14" t="s">
        <v>208</v>
      </c>
      <c r="B20" s="37"/>
      <c r="C20" s="38"/>
      <c r="D20" s="38"/>
      <c r="E20" s="37">
        <f>E18+E19</f>
        <v>-21069.050000000003</v>
      </c>
      <c r="F20" s="37">
        <f t="shared" ref="F20:I20" si="2">F18+F19</f>
        <v>-14730</v>
      </c>
      <c r="G20" s="37">
        <f t="shared" si="2"/>
        <v>1705.3499999999985</v>
      </c>
      <c r="H20" s="37">
        <f t="shared" si="2"/>
        <v>-10937.64</v>
      </c>
      <c r="I20" s="37">
        <f t="shared" si="2"/>
        <v>-29650</v>
      </c>
    </row>
    <row r="21" spans="1:11" x14ac:dyDescent="0.25">
      <c r="B21" s="6"/>
    </row>
    <row r="22" spans="1:11" ht="57" x14ac:dyDescent="0.45">
      <c r="A22" s="31" t="s">
        <v>236</v>
      </c>
      <c r="B22" s="4" t="s">
        <v>244</v>
      </c>
    </row>
    <row r="23" spans="1:11" ht="63.75" x14ac:dyDescent="0.3">
      <c r="A23" s="32" t="s">
        <v>125</v>
      </c>
      <c r="B23" s="10"/>
      <c r="C23" s="10"/>
      <c r="D23" s="10"/>
      <c r="E23" s="24" t="s">
        <v>121</v>
      </c>
      <c r="F23" s="24" t="s">
        <v>123</v>
      </c>
      <c r="G23" s="24" t="s">
        <v>156</v>
      </c>
      <c r="H23" s="24" t="s">
        <v>122</v>
      </c>
      <c r="I23" s="24" t="s">
        <v>215</v>
      </c>
      <c r="J23" s="24" t="s">
        <v>422</v>
      </c>
      <c r="K23" s="24" t="s">
        <v>421</v>
      </c>
    </row>
    <row r="24" spans="1:11" ht="15.75" x14ac:dyDescent="0.25">
      <c r="A24" s="33" t="s">
        <v>192</v>
      </c>
      <c r="D24" t="s">
        <v>242</v>
      </c>
      <c r="E24" s="6">
        <v>0</v>
      </c>
      <c r="F24" s="19">
        <v>7185</v>
      </c>
      <c r="G24" s="20">
        <v>7185</v>
      </c>
      <c r="H24" s="8">
        <f>G24</f>
        <v>7185</v>
      </c>
      <c r="I24" s="8">
        <f>F24-H24</f>
        <v>0</v>
      </c>
      <c r="J24" t="s">
        <v>288</v>
      </c>
    </row>
    <row r="25" spans="1:11" ht="31.5" x14ac:dyDescent="0.25">
      <c r="A25" s="33" t="s">
        <v>191</v>
      </c>
      <c r="D25" t="s">
        <v>242</v>
      </c>
      <c r="E25" s="6">
        <v>0</v>
      </c>
      <c r="F25" s="19">
        <v>825</v>
      </c>
      <c r="G25" s="20">
        <v>825</v>
      </c>
      <c r="H25" s="8">
        <f>G25</f>
        <v>825</v>
      </c>
      <c r="I25" s="8">
        <f>F25-H25</f>
        <v>0</v>
      </c>
      <c r="J25" t="s">
        <v>288</v>
      </c>
    </row>
    <row r="26" spans="1:11" ht="15.75" x14ac:dyDescent="0.25">
      <c r="A26" s="16"/>
      <c r="B26" s="16"/>
      <c r="C26" s="16"/>
      <c r="D26" s="16"/>
      <c r="E26" s="16">
        <f>SUM(E24:E25)</f>
        <v>0</v>
      </c>
      <c r="F26" s="16">
        <f>SUM(F24:F25)</f>
        <v>8010</v>
      </c>
      <c r="G26" s="16">
        <f>SUM(G24:G25)</f>
        <v>8010</v>
      </c>
      <c r="H26" s="16">
        <f>SUM(H24:H25)</f>
        <v>8010</v>
      </c>
      <c r="I26" s="16">
        <f>SUM(I24:I25)</f>
        <v>0</v>
      </c>
    </row>
    <row r="28" spans="1:11" ht="57" x14ac:dyDescent="0.45">
      <c r="A28" s="31" t="s">
        <v>235</v>
      </c>
      <c r="B28" s="4" t="s">
        <v>243</v>
      </c>
      <c r="J28" s="24" t="s">
        <v>422</v>
      </c>
      <c r="K28" s="24" t="s">
        <v>421</v>
      </c>
    </row>
    <row r="29" spans="1:11" ht="15.75" x14ac:dyDescent="0.25">
      <c r="A29" s="33" t="s">
        <v>29</v>
      </c>
      <c r="D29" t="s">
        <v>242</v>
      </c>
      <c r="E29" s="6">
        <v>0</v>
      </c>
      <c r="F29" s="19">
        <v>41900</v>
      </c>
      <c r="G29" s="20">
        <v>16671.11</v>
      </c>
      <c r="H29" s="8">
        <v>41689.660000000003</v>
      </c>
      <c r="I29" s="8">
        <f>F29-H29</f>
        <v>210.33999999999651</v>
      </c>
      <c r="J29" t="s">
        <v>286</v>
      </c>
    </row>
    <row r="30" spans="1:11" ht="15.75" x14ac:dyDescent="0.25">
      <c r="A30" s="33" t="s">
        <v>161</v>
      </c>
      <c r="D30" t="s">
        <v>242</v>
      </c>
      <c r="E30" s="6">
        <v>0</v>
      </c>
      <c r="F30" s="19">
        <v>6041.7699999999995</v>
      </c>
      <c r="G30" s="20">
        <v>146.78</v>
      </c>
      <c r="H30" s="8">
        <v>1653.28</v>
      </c>
      <c r="I30" s="8">
        <f>F30-H30</f>
        <v>4388.49</v>
      </c>
      <c r="J30" t="s">
        <v>287</v>
      </c>
    </row>
    <row r="31" spans="1:11" ht="15.75" x14ac:dyDescent="0.25">
      <c r="A31" s="16"/>
      <c r="B31" s="16"/>
      <c r="C31" s="16"/>
      <c r="D31" s="16"/>
      <c r="E31" s="16">
        <f t="shared" ref="E31:H31" si="3">SUM(E29:E30)</f>
        <v>0</v>
      </c>
      <c r="F31" s="16">
        <f t="shared" si="3"/>
        <v>47941.77</v>
      </c>
      <c r="G31" s="16">
        <f t="shared" si="3"/>
        <v>16817.89</v>
      </c>
      <c r="H31" s="16">
        <f t="shared" si="3"/>
        <v>43342.94</v>
      </c>
      <c r="I31" s="16">
        <f>SUM(I29:I30)</f>
        <v>4598.8299999999963</v>
      </c>
    </row>
    <row r="35" spans="2:9" x14ac:dyDescent="0.25">
      <c r="E35"/>
      <c r="F35"/>
      <c r="G35"/>
      <c r="H35"/>
      <c r="I35"/>
    </row>
    <row r="36" spans="2:9" x14ac:dyDescent="0.25">
      <c r="E36"/>
      <c r="F36"/>
      <c r="G36"/>
      <c r="H36"/>
      <c r="I36"/>
    </row>
    <row r="37" spans="2:9" x14ac:dyDescent="0.25">
      <c r="B37" s="6"/>
      <c r="E37"/>
      <c r="F37"/>
      <c r="G37"/>
      <c r="H37"/>
      <c r="I37"/>
    </row>
    <row r="38" spans="2:9" x14ac:dyDescent="0.25">
      <c r="E38"/>
      <c r="F38"/>
      <c r="G38"/>
      <c r="H38"/>
      <c r="I38"/>
    </row>
    <row r="39" spans="2:9" x14ac:dyDescent="0.25">
      <c r="E39"/>
      <c r="F39"/>
      <c r="G39"/>
      <c r="H39"/>
      <c r="I39"/>
    </row>
    <row r="40" spans="2:9" x14ac:dyDescent="0.25">
      <c r="G40" s="3"/>
      <c r="I40"/>
    </row>
  </sheetData>
  <sheetProtection algorithmName="SHA-512" hashValue="2+wLQ3naXDtOUMwU27GEMXKT8ZuHGKVwIbOOWURnBpJUqwBmGKvpbt1Lw2SZqtobIF6D7zPKFCPuCmPYJDsBgQ==" saltValue="E30VngL2lMB9xARSO75/y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7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68F6E-A1CC-481B-A372-FB799008D36D}">
  <sheetPr>
    <pageSetUpPr fitToPage="1"/>
  </sheetPr>
  <dimension ref="A1:K23"/>
  <sheetViews>
    <sheetView workbookViewId="0">
      <selection activeCell="I4" sqref="I4"/>
    </sheetView>
  </sheetViews>
  <sheetFormatPr defaultColWidth="8.7109375" defaultRowHeight="15" x14ac:dyDescent="0.25"/>
  <cols>
    <col min="1" max="1" width="26.42578125" customWidth="1"/>
    <col min="5" max="5" width="15.42578125" customWidth="1"/>
    <col min="6" max="6" width="15.7109375" customWidth="1"/>
    <col min="7" max="7" width="15" customWidth="1"/>
    <col min="8" max="8" width="15.7109375" customWidth="1"/>
    <col min="9" max="9" width="16.28515625" customWidth="1"/>
    <col min="10" max="10" width="12.7109375" customWidth="1"/>
    <col min="11" max="11" width="17.140625" customWidth="1"/>
  </cols>
  <sheetData>
    <row r="1" spans="1:11" ht="72" x14ac:dyDescent="0.4">
      <c r="A1" s="27" t="s">
        <v>125</v>
      </c>
    </row>
    <row r="2" spans="1:11" ht="33" x14ac:dyDescent="0.35">
      <c r="A2" s="51" t="s">
        <v>133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10" t="s">
        <v>117</v>
      </c>
      <c r="B3" s="10"/>
      <c r="C3" s="10"/>
      <c r="D3" s="10" t="s">
        <v>242</v>
      </c>
      <c r="E3" s="8">
        <v>0</v>
      </c>
      <c r="F3" s="8">
        <v>0</v>
      </c>
      <c r="G3" s="8">
        <v>0</v>
      </c>
      <c r="H3" s="8">
        <v>0</v>
      </c>
      <c r="I3" s="53">
        <v>-2000</v>
      </c>
      <c r="J3" t="s">
        <v>270</v>
      </c>
      <c r="K3" s="8"/>
    </row>
    <row r="4" spans="1:11" ht="15.75" x14ac:dyDescent="0.25">
      <c r="A4" s="10"/>
      <c r="B4" s="9" t="s">
        <v>38</v>
      </c>
      <c r="C4" s="10"/>
      <c r="D4" s="10"/>
      <c r="E4" s="13">
        <f>SUM(E3)</f>
        <v>0</v>
      </c>
      <c r="F4" s="13">
        <f>SUM(F3)</f>
        <v>0</v>
      </c>
      <c r="G4" s="13">
        <f t="shared" ref="G4:I4" si="0">SUM(G3)</f>
        <v>0</v>
      </c>
      <c r="H4" s="13">
        <f t="shared" si="0"/>
        <v>0</v>
      </c>
      <c r="I4" s="13">
        <f t="shared" si="0"/>
        <v>-2000</v>
      </c>
    </row>
    <row r="5" spans="1:11" ht="15.75" x14ac:dyDescent="0.25">
      <c r="A5" s="14" t="s">
        <v>134</v>
      </c>
      <c r="B5" s="14"/>
      <c r="C5" s="14"/>
      <c r="D5" s="14"/>
      <c r="E5" s="16">
        <f>E4</f>
        <v>0</v>
      </c>
      <c r="F5" s="16">
        <f t="shared" ref="F5:I5" si="1">F4</f>
        <v>0</v>
      </c>
      <c r="G5" s="16">
        <f t="shared" si="1"/>
        <v>0</v>
      </c>
      <c r="H5" s="16">
        <f t="shared" si="1"/>
        <v>0</v>
      </c>
      <c r="I5" s="16">
        <f t="shared" si="1"/>
        <v>-2000</v>
      </c>
    </row>
    <row r="7" spans="1:11" ht="31.5" x14ac:dyDescent="0.25">
      <c r="A7" s="9" t="s">
        <v>60</v>
      </c>
      <c r="B7" s="10"/>
      <c r="C7" s="10"/>
      <c r="D7" s="46" t="s">
        <v>240</v>
      </c>
      <c r="E7" s="24" t="s">
        <v>121</v>
      </c>
      <c r="F7" s="24" t="s">
        <v>123</v>
      </c>
      <c r="G7" s="24" t="s">
        <v>156</v>
      </c>
      <c r="H7" s="24" t="s">
        <v>122</v>
      </c>
      <c r="I7" s="24" t="s">
        <v>124</v>
      </c>
      <c r="J7" s="24" t="s">
        <v>422</v>
      </c>
      <c r="K7" s="24" t="s">
        <v>421</v>
      </c>
    </row>
    <row r="8" spans="1:11" ht="15.75" x14ac:dyDescent="0.25">
      <c r="A8" s="12" t="s">
        <v>60</v>
      </c>
      <c r="B8" s="10"/>
      <c r="C8" s="10"/>
      <c r="D8" s="10" t="s">
        <v>238</v>
      </c>
      <c r="E8" s="6">
        <v>1110</v>
      </c>
      <c r="F8" s="6">
        <v>750</v>
      </c>
      <c r="G8" s="6">
        <v>430</v>
      </c>
      <c r="H8" s="6">
        <v>480</v>
      </c>
      <c r="I8" s="6">
        <v>2000</v>
      </c>
      <c r="J8" t="s">
        <v>296</v>
      </c>
    </row>
    <row r="9" spans="1:11" ht="15.75" x14ac:dyDescent="0.25">
      <c r="A9" s="12"/>
      <c r="B9" s="9" t="s">
        <v>3</v>
      </c>
      <c r="C9" s="10"/>
      <c r="D9" s="10"/>
      <c r="E9" s="7">
        <f>SUM(E8)</f>
        <v>1110</v>
      </c>
      <c r="F9" s="7">
        <f>SUM(F8)</f>
        <v>750</v>
      </c>
      <c r="G9" s="7">
        <f>SUM(G8)</f>
        <v>430</v>
      </c>
      <c r="H9" s="7">
        <f>SUM(H8)</f>
        <v>480</v>
      </c>
      <c r="I9" s="7">
        <f>SUM(I8)</f>
        <v>2000</v>
      </c>
    </row>
    <row r="10" spans="1:11" ht="15.75" x14ac:dyDescent="0.25">
      <c r="A10" s="17" t="s">
        <v>144</v>
      </c>
      <c r="B10" s="17"/>
      <c r="C10" s="14"/>
      <c r="D10" s="14"/>
      <c r="E10" s="16">
        <f>E9</f>
        <v>1110</v>
      </c>
      <c r="F10" s="16">
        <f>F9</f>
        <v>750</v>
      </c>
      <c r="G10" s="16">
        <f>G9</f>
        <v>430</v>
      </c>
      <c r="H10" s="16">
        <f>H9</f>
        <v>480</v>
      </c>
      <c r="I10" s="16">
        <f>I9</f>
        <v>2000</v>
      </c>
    </row>
    <row r="12" spans="1:11" x14ac:dyDescent="0.25">
      <c r="A12" s="7" t="s">
        <v>38</v>
      </c>
      <c r="E12" s="6">
        <f>E4</f>
        <v>0</v>
      </c>
      <c r="F12" s="6">
        <f t="shared" ref="F12:I12" si="2">F4</f>
        <v>0</v>
      </c>
      <c r="G12" s="6">
        <f t="shared" si="2"/>
        <v>0</v>
      </c>
      <c r="H12" s="6">
        <f t="shared" si="2"/>
        <v>0</v>
      </c>
      <c r="I12" s="6">
        <f t="shared" si="2"/>
        <v>-2000</v>
      </c>
    </row>
    <row r="13" spans="1:11" x14ac:dyDescent="0.25">
      <c r="A13" s="7" t="s">
        <v>3</v>
      </c>
      <c r="E13" s="6">
        <f>E9</f>
        <v>1110</v>
      </c>
      <c r="F13" s="6">
        <f t="shared" ref="F13:I13" si="3">F9</f>
        <v>750</v>
      </c>
      <c r="G13" s="6">
        <f t="shared" si="3"/>
        <v>430</v>
      </c>
      <c r="H13" s="6">
        <f t="shared" si="3"/>
        <v>480</v>
      </c>
      <c r="I13" s="6">
        <f t="shared" si="3"/>
        <v>2000</v>
      </c>
    </row>
    <row r="14" spans="1:11" ht="15.75" x14ac:dyDescent="0.25">
      <c r="A14" s="14" t="s">
        <v>210</v>
      </c>
      <c r="B14" s="14"/>
      <c r="C14" s="14"/>
      <c r="D14" s="14"/>
      <c r="E14" s="16">
        <f>E12+E13</f>
        <v>1110</v>
      </c>
      <c r="F14" s="16">
        <f t="shared" ref="F14:I14" si="4">F12+F13</f>
        <v>750</v>
      </c>
      <c r="G14" s="16">
        <f t="shared" si="4"/>
        <v>430</v>
      </c>
      <c r="H14" s="16">
        <f t="shared" si="4"/>
        <v>480</v>
      </c>
      <c r="I14" s="16">
        <f t="shared" si="4"/>
        <v>0</v>
      </c>
    </row>
    <row r="16" spans="1:11" ht="57" x14ac:dyDescent="0.45">
      <c r="A16" s="31" t="s">
        <v>236</v>
      </c>
      <c r="B16" s="4" t="s">
        <v>244</v>
      </c>
    </row>
    <row r="17" spans="1:11" ht="63.75" x14ac:dyDescent="0.3">
      <c r="A17" s="32" t="s">
        <v>125</v>
      </c>
      <c r="B17" s="10"/>
      <c r="C17" s="10"/>
      <c r="D17" s="46" t="s">
        <v>240</v>
      </c>
      <c r="E17" s="24" t="s">
        <v>121</v>
      </c>
      <c r="F17" s="24" t="s">
        <v>123</v>
      </c>
      <c r="G17" s="24" t="s">
        <v>156</v>
      </c>
      <c r="H17" s="24" t="s">
        <v>122</v>
      </c>
      <c r="I17" s="24" t="s">
        <v>215</v>
      </c>
      <c r="J17" s="24" t="s">
        <v>422</v>
      </c>
      <c r="K17" s="24" t="s">
        <v>421</v>
      </c>
    </row>
    <row r="18" spans="1:11" ht="15.75" x14ac:dyDescent="0.25">
      <c r="A18" s="33" t="s">
        <v>187</v>
      </c>
      <c r="D18" t="s">
        <v>238</v>
      </c>
      <c r="F18" s="19">
        <v>130</v>
      </c>
      <c r="G18" s="20">
        <v>0</v>
      </c>
      <c r="H18" s="8">
        <f>F18</f>
        <v>130</v>
      </c>
      <c r="I18" s="8">
        <f>F18-H18</f>
        <v>0</v>
      </c>
    </row>
    <row r="19" spans="1:11" ht="15.75" x14ac:dyDescent="0.25">
      <c r="A19" s="33" t="s">
        <v>186</v>
      </c>
      <c r="D19" t="s">
        <v>238</v>
      </c>
      <c r="F19" s="19">
        <v>210</v>
      </c>
      <c r="G19" s="20">
        <v>0</v>
      </c>
      <c r="H19" s="8">
        <f>F19</f>
        <v>210</v>
      </c>
      <c r="I19" s="8">
        <f>F19-H19</f>
        <v>0</v>
      </c>
    </row>
    <row r="20" spans="1:11" ht="15.75" x14ac:dyDescent="0.25">
      <c r="A20" s="14"/>
      <c r="B20" s="14"/>
      <c r="C20" s="14"/>
      <c r="D20" s="14"/>
      <c r="E20" s="16">
        <f t="shared" ref="E20:H20" si="5">SUM(E18:E19)</f>
        <v>0</v>
      </c>
      <c r="F20" s="16">
        <f t="shared" si="5"/>
        <v>340</v>
      </c>
      <c r="G20" s="16">
        <f t="shared" si="5"/>
        <v>0</v>
      </c>
      <c r="H20" s="16">
        <f t="shared" si="5"/>
        <v>340</v>
      </c>
      <c r="I20" s="16">
        <f>SUM(I18:I19)</f>
        <v>0</v>
      </c>
    </row>
    <row r="22" spans="1:11" x14ac:dyDescent="0.25">
      <c r="G22" s="3"/>
    </row>
    <row r="23" spans="1:11" ht="24" x14ac:dyDescent="0.4">
      <c r="A23" s="5"/>
      <c r="B23" s="21"/>
      <c r="C23" s="21"/>
      <c r="D23" s="21"/>
      <c r="E23" s="8"/>
      <c r="F23" s="8"/>
    </row>
  </sheetData>
  <sheetProtection algorithmName="SHA-512" hashValue="JueJkZdxbnMXyiYisZyhHbmsnThyhxCKSxqhLFnKA81TTpPgm2JbSoetx3e1xVlZ9Ru406+7lu12I8cR30B+IA==" saltValue="jUqkh9TcOnaKcJA5KVcPp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8457F-6196-4C74-B4FA-BEFC1FB50833}">
  <sheetPr>
    <pageSetUpPr fitToPage="1"/>
  </sheetPr>
  <dimension ref="A1:N17"/>
  <sheetViews>
    <sheetView topLeftCell="B1" workbookViewId="0">
      <selection activeCell="G18" sqref="G18"/>
    </sheetView>
  </sheetViews>
  <sheetFormatPr defaultColWidth="8.7109375" defaultRowHeight="15" x14ac:dyDescent="0.25"/>
  <cols>
    <col min="1" max="1" width="26.42578125" customWidth="1"/>
    <col min="4" max="4" width="14.7109375" customWidth="1"/>
    <col min="5" max="7" width="8.7109375" customWidth="1"/>
    <col min="8" max="8" width="15.42578125" customWidth="1"/>
    <col min="9" max="9" width="15.7109375" customWidth="1"/>
    <col min="10" max="10" width="15" customWidth="1"/>
    <col min="11" max="11" width="15.7109375" customWidth="1"/>
    <col min="12" max="12" width="16.28515625" customWidth="1"/>
    <col min="13" max="13" width="16.42578125" customWidth="1"/>
    <col min="14" max="14" width="29" customWidth="1"/>
  </cols>
  <sheetData>
    <row r="1" spans="1:14" ht="72" x14ac:dyDescent="0.4">
      <c r="A1" s="27" t="s">
        <v>125</v>
      </c>
    </row>
    <row r="2" spans="1:14" ht="33" x14ac:dyDescent="0.35">
      <c r="A2" s="49" t="s">
        <v>27</v>
      </c>
      <c r="B2" s="10"/>
      <c r="C2" s="10"/>
      <c r="D2" s="46" t="s">
        <v>240</v>
      </c>
      <c r="E2" s="10"/>
      <c r="F2" s="10"/>
      <c r="G2" s="8"/>
      <c r="H2" s="24" t="s">
        <v>121</v>
      </c>
      <c r="I2" s="24" t="s">
        <v>123</v>
      </c>
      <c r="J2" s="24" t="s">
        <v>156</v>
      </c>
      <c r="K2" s="24" t="s">
        <v>122</v>
      </c>
      <c r="L2" s="24" t="s">
        <v>124</v>
      </c>
      <c r="M2" s="24" t="s">
        <v>422</v>
      </c>
      <c r="N2" s="24" t="s">
        <v>421</v>
      </c>
    </row>
    <row r="3" spans="1:14" ht="78.75" x14ac:dyDescent="0.25">
      <c r="A3" s="10" t="s">
        <v>55</v>
      </c>
      <c r="B3" s="10"/>
      <c r="C3" s="10"/>
      <c r="D3" s="10" t="s">
        <v>242</v>
      </c>
      <c r="E3" s="10"/>
      <c r="F3" s="10"/>
      <c r="G3" s="8"/>
      <c r="H3" s="8">
        <v>0</v>
      </c>
      <c r="I3" s="8">
        <v>0</v>
      </c>
      <c r="J3" s="8">
        <v>0</v>
      </c>
      <c r="K3" s="8">
        <v>0</v>
      </c>
      <c r="L3" s="53">
        <v>-1000</v>
      </c>
      <c r="M3" t="s">
        <v>270</v>
      </c>
      <c r="N3" s="63" t="s">
        <v>423</v>
      </c>
    </row>
    <row r="4" spans="1:14" ht="15.75" x14ac:dyDescent="0.25">
      <c r="A4" s="10"/>
      <c r="B4" s="9" t="s">
        <v>38</v>
      </c>
      <c r="C4" s="10"/>
      <c r="D4" s="10"/>
      <c r="E4" s="10"/>
      <c r="F4" s="10"/>
      <c r="G4" s="8"/>
      <c r="H4" s="13">
        <f>SUM(H3)</f>
        <v>0</v>
      </c>
      <c r="I4" s="13">
        <f>SUM(I3)</f>
        <v>0</v>
      </c>
      <c r="J4" s="13">
        <f t="shared" ref="J4:L4" si="0">SUM(J3)</f>
        <v>0</v>
      </c>
      <c r="K4" s="13">
        <f t="shared" si="0"/>
        <v>0</v>
      </c>
      <c r="L4" s="13">
        <f t="shared" si="0"/>
        <v>-1000</v>
      </c>
    </row>
    <row r="5" spans="1:14" ht="15.75" x14ac:dyDescent="0.25">
      <c r="A5" s="14" t="s">
        <v>135</v>
      </c>
      <c r="B5" s="14"/>
      <c r="C5" s="14"/>
      <c r="D5" s="14"/>
      <c r="E5" s="14"/>
      <c r="F5" s="14"/>
      <c r="G5" s="16"/>
      <c r="H5" s="16">
        <f>H4</f>
        <v>0</v>
      </c>
      <c r="I5" s="16">
        <f t="shared" ref="I5:L5" si="1">I4</f>
        <v>0</v>
      </c>
      <c r="J5" s="16">
        <f t="shared" si="1"/>
        <v>0</v>
      </c>
      <c r="K5" s="16">
        <f t="shared" si="1"/>
        <v>0</v>
      </c>
      <c r="L5" s="16">
        <f t="shared" si="1"/>
        <v>-1000</v>
      </c>
    </row>
    <row r="8" spans="1:14" x14ac:dyDescent="0.25">
      <c r="A8" s="7" t="s">
        <v>38</v>
      </c>
      <c r="H8" s="6">
        <f>H4</f>
        <v>0</v>
      </c>
      <c r="I8" s="6">
        <f t="shared" ref="I8:L8" si="2">I4</f>
        <v>0</v>
      </c>
      <c r="J8" s="6">
        <f t="shared" si="2"/>
        <v>0</v>
      </c>
      <c r="K8" s="6">
        <f t="shared" si="2"/>
        <v>0</v>
      </c>
      <c r="L8" s="6">
        <f t="shared" si="2"/>
        <v>-1000</v>
      </c>
    </row>
    <row r="9" spans="1:14" x14ac:dyDescent="0.25">
      <c r="A9" s="7" t="s">
        <v>3</v>
      </c>
      <c r="H9" s="6">
        <v>0</v>
      </c>
      <c r="I9" s="6">
        <v>0</v>
      </c>
      <c r="J9" s="6">
        <v>0</v>
      </c>
      <c r="K9" s="6">
        <v>0</v>
      </c>
      <c r="L9" s="6">
        <v>0</v>
      </c>
    </row>
    <row r="10" spans="1:14" ht="15.75" x14ac:dyDescent="0.25">
      <c r="A10" s="14" t="s">
        <v>135</v>
      </c>
      <c r="B10" s="14"/>
      <c r="C10" s="14"/>
      <c r="D10" s="14"/>
      <c r="H10" s="16">
        <f>H8+H9</f>
        <v>0</v>
      </c>
      <c r="I10" s="16">
        <f t="shared" ref="I10:L10" si="3">I8+I9</f>
        <v>0</v>
      </c>
      <c r="J10" s="16">
        <f t="shared" si="3"/>
        <v>0</v>
      </c>
      <c r="K10" s="16">
        <f t="shared" si="3"/>
        <v>0</v>
      </c>
      <c r="L10" s="16">
        <f t="shared" si="3"/>
        <v>-1000</v>
      </c>
    </row>
    <row r="11" spans="1:14" ht="15.75" x14ac:dyDescent="0.25">
      <c r="A11" s="10"/>
    </row>
    <row r="12" spans="1:14" ht="18.75" x14ac:dyDescent="0.3">
      <c r="A12" s="32"/>
      <c r="B12" s="10"/>
      <c r="C12" s="10"/>
      <c r="D12" s="10"/>
      <c r="E12" s="24"/>
      <c r="F12" s="24"/>
      <c r="G12" s="24"/>
      <c r="H12" s="24"/>
      <c r="I12" s="24"/>
      <c r="J12" s="24"/>
      <c r="K12" s="24"/>
      <c r="L12" s="24"/>
    </row>
    <row r="17" spans="1:9" ht="24" x14ac:dyDescent="0.4">
      <c r="A17" s="5"/>
      <c r="B17" s="21"/>
      <c r="C17" s="21"/>
      <c r="D17" s="21"/>
      <c r="E17" s="21"/>
      <c r="F17" s="10"/>
      <c r="G17" s="8"/>
      <c r="H17" s="8"/>
      <c r="I17" s="8"/>
    </row>
  </sheetData>
  <sheetProtection algorithmName="SHA-512" hashValue="A1f+5hMQplfZMLO/D6Bf7AjRsBP58PuqzzWejkxeMvH9bO/fFNwv1h38TACbJYKs3Tm6Grne2TgLy5Vab6Recw==" saltValue="0/dYjQ9+iloYDHqzdppX6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2766-7499-41E6-9920-03C41B6F0CDD}">
  <sheetPr>
    <pageSetUpPr fitToPage="1"/>
  </sheetPr>
  <dimension ref="A1:K30"/>
  <sheetViews>
    <sheetView workbookViewId="0">
      <selection activeCell="I4" sqref="I4"/>
    </sheetView>
  </sheetViews>
  <sheetFormatPr defaultColWidth="8.7109375" defaultRowHeight="15" x14ac:dyDescent="0.25"/>
  <cols>
    <col min="1" max="1" width="26.42578125" customWidth="1"/>
    <col min="5" max="5" width="15.42578125" style="6" customWidth="1"/>
    <col min="6" max="6" width="15.7109375" style="6" customWidth="1"/>
    <col min="7" max="7" width="15" style="6" customWidth="1"/>
    <col min="8" max="8" width="15.7109375" style="6" customWidth="1"/>
    <col min="9" max="9" width="16.28515625" style="6" customWidth="1"/>
    <col min="10" max="10" width="16.7109375" customWidth="1"/>
    <col min="11" max="11" width="32.42578125" customWidth="1"/>
  </cols>
  <sheetData>
    <row r="1" spans="1:11" ht="72" x14ac:dyDescent="0.4">
      <c r="A1" s="27" t="s">
        <v>125</v>
      </c>
    </row>
    <row r="2" spans="1:11" ht="33" x14ac:dyDescent="0.35">
      <c r="A2" s="49" t="s">
        <v>9</v>
      </c>
      <c r="B2" s="10"/>
      <c r="C2" s="10"/>
      <c r="D2" s="10"/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10" t="s">
        <v>50</v>
      </c>
      <c r="B3" s="10"/>
      <c r="C3" s="10"/>
      <c r="D3" s="10"/>
      <c r="E3" s="6">
        <v>-25.06</v>
      </c>
      <c r="F3" s="6">
        <v>-1500</v>
      </c>
      <c r="G3" s="6">
        <v>0</v>
      </c>
      <c r="H3" s="6">
        <v>-1500</v>
      </c>
      <c r="I3" s="54">
        <v>-500</v>
      </c>
      <c r="J3" t="s">
        <v>299</v>
      </c>
    </row>
    <row r="4" spans="1:11" ht="15.75" x14ac:dyDescent="0.25">
      <c r="A4" s="12" t="s">
        <v>51</v>
      </c>
      <c r="B4" s="10"/>
      <c r="C4" s="10"/>
      <c r="D4" s="10"/>
      <c r="E4" s="6">
        <v>0</v>
      </c>
      <c r="F4" s="6">
        <v>-100</v>
      </c>
      <c r="G4" s="6">
        <v>0</v>
      </c>
      <c r="H4" s="6">
        <v>0</v>
      </c>
      <c r="I4" s="6">
        <v>-100</v>
      </c>
      <c r="J4" t="s">
        <v>300</v>
      </c>
      <c r="K4" s="6"/>
    </row>
    <row r="5" spans="1:11" ht="15.75" x14ac:dyDescent="0.25">
      <c r="A5" s="10"/>
      <c r="B5" s="9" t="s">
        <v>38</v>
      </c>
      <c r="C5" s="10"/>
      <c r="D5" s="10"/>
      <c r="E5" s="7">
        <f>SUM(E3:E4)</f>
        <v>-25.06</v>
      </c>
      <c r="F5" s="7">
        <f t="shared" ref="F5:I5" si="0">SUM(F3:F4)</f>
        <v>-1600</v>
      </c>
      <c r="G5" s="7">
        <f t="shared" si="0"/>
        <v>0</v>
      </c>
      <c r="H5" s="7">
        <f t="shared" si="0"/>
        <v>-1500</v>
      </c>
      <c r="I5" s="7">
        <f t="shared" si="0"/>
        <v>-600</v>
      </c>
    </row>
    <row r="6" spans="1:11" ht="15.75" x14ac:dyDescent="0.25">
      <c r="A6" s="12" t="s">
        <v>10</v>
      </c>
      <c r="B6" s="10"/>
      <c r="C6" s="10"/>
      <c r="D6" s="10"/>
      <c r="E6" s="6">
        <v>446.46</v>
      </c>
      <c r="F6" s="6">
        <v>450</v>
      </c>
      <c r="G6" s="6">
        <v>92.36</v>
      </c>
      <c r="H6" s="6">
        <v>192.36</v>
      </c>
      <c r="I6" s="6">
        <v>200</v>
      </c>
      <c r="J6" t="s">
        <v>301</v>
      </c>
    </row>
    <row r="7" spans="1:11" ht="15.75" x14ac:dyDescent="0.25">
      <c r="A7" s="10"/>
      <c r="B7" s="9" t="s">
        <v>3</v>
      </c>
      <c r="C7" s="10"/>
      <c r="D7" s="10"/>
      <c r="E7" s="7">
        <f>SUM(E6)</f>
        <v>446.46</v>
      </c>
      <c r="F7" s="7">
        <f t="shared" ref="F7:I7" si="1">SUM(F6)</f>
        <v>450</v>
      </c>
      <c r="G7" s="7">
        <f t="shared" si="1"/>
        <v>92.36</v>
      </c>
      <c r="H7" s="7">
        <f t="shared" si="1"/>
        <v>192.36</v>
      </c>
      <c r="I7" s="7">
        <f t="shared" si="1"/>
        <v>200</v>
      </c>
    </row>
    <row r="8" spans="1:11" ht="15.75" x14ac:dyDescent="0.25">
      <c r="A8" s="14" t="s">
        <v>136</v>
      </c>
      <c r="B8" s="14"/>
      <c r="C8" s="14"/>
      <c r="D8" s="14"/>
      <c r="E8" s="16">
        <f t="shared" ref="E8:H8" si="2">E5+E7</f>
        <v>421.4</v>
      </c>
      <c r="F8" s="16">
        <f t="shared" si="2"/>
        <v>-1150</v>
      </c>
      <c r="G8" s="16">
        <f t="shared" si="2"/>
        <v>92.36</v>
      </c>
      <c r="H8" s="16">
        <f t="shared" si="2"/>
        <v>-1307.6399999999999</v>
      </c>
      <c r="I8" s="16">
        <f>I5+I7</f>
        <v>-400</v>
      </c>
    </row>
    <row r="10" spans="1:11" ht="31.5" x14ac:dyDescent="0.25">
      <c r="A10" s="11" t="s">
        <v>62</v>
      </c>
      <c r="B10" s="10"/>
      <c r="C10" s="10"/>
      <c r="D10" s="46" t="s">
        <v>240</v>
      </c>
      <c r="E10" s="24" t="s">
        <v>121</v>
      </c>
      <c r="F10" s="24" t="s">
        <v>123</v>
      </c>
      <c r="G10" s="24" t="s">
        <v>156</v>
      </c>
      <c r="H10" s="24" t="s">
        <v>122</v>
      </c>
      <c r="I10" s="24" t="s">
        <v>124</v>
      </c>
      <c r="J10" s="24" t="s">
        <v>422</v>
      </c>
      <c r="K10" s="24" t="s">
        <v>421</v>
      </c>
    </row>
    <row r="11" spans="1:11" ht="30" x14ac:dyDescent="0.25">
      <c r="A11" s="10" t="s">
        <v>34</v>
      </c>
      <c r="B11" s="10"/>
      <c r="C11" s="10"/>
      <c r="D11" s="10" t="s">
        <v>238</v>
      </c>
      <c r="E11" s="6">
        <v>-4050</v>
      </c>
      <c r="F11" s="6">
        <v>-1000</v>
      </c>
      <c r="G11" s="6">
        <v>-1000</v>
      </c>
      <c r="H11" s="6">
        <v>-2025</v>
      </c>
      <c r="I11" s="6">
        <v>-1250</v>
      </c>
      <c r="J11" t="s">
        <v>304</v>
      </c>
      <c r="K11" s="34" t="s">
        <v>424</v>
      </c>
    </row>
    <row r="12" spans="1:11" ht="15.75" x14ac:dyDescent="0.25">
      <c r="A12" s="10"/>
      <c r="B12" s="9" t="s">
        <v>38</v>
      </c>
      <c r="C12" s="10"/>
      <c r="D12" s="10"/>
      <c r="E12" s="7">
        <f>SUM(E11)</f>
        <v>-4050</v>
      </c>
      <c r="F12" s="7">
        <f t="shared" ref="F12:I12" si="3">SUM(F11)</f>
        <v>-1000</v>
      </c>
      <c r="G12" s="7">
        <f t="shared" si="3"/>
        <v>-1000</v>
      </c>
      <c r="H12" s="7">
        <f t="shared" si="3"/>
        <v>-2025</v>
      </c>
      <c r="I12" s="7">
        <f t="shared" si="3"/>
        <v>-1250</v>
      </c>
    </row>
    <row r="13" spans="1:11" ht="15.75" x14ac:dyDescent="0.25">
      <c r="A13" s="12" t="s">
        <v>14</v>
      </c>
      <c r="B13" s="10"/>
      <c r="C13" s="10"/>
      <c r="D13" s="10"/>
      <c r="E13" s="6">
        <v>3753</v>
      </c>
      <c r="F13" s="6">
        <v>3000</v>
      </c>
      <c r="G13" s="6">
        <v>1804</v>
      </c>
      <c r="H13" s="6">
        <v>1864</v>
      </c>
      <c r="I13" s="6">
        <v>3000</v>
      </c>
      <c r="J13" t="s">
        <v>302</v>
      </c>
    </row>
    <row r="14" spans="1:11" ht="15.75" x14ac:dyDescent="0.25">
      <c r="A14" s="12" t="s">
        <v>13</v>
      </c>
      <c r="B14" s="10"/>
      <c r="C14" s="10"/>
      <c r="D14" s="10"/>
      <c r="E14" s="6">
        <v>4025</v>
      </c>
      <c r="F14" s="6">
        <v>1000</v>
      </c>
      <c r="G14" s="6">
        <v>2025</v>
      </c>
      <c r="H14" s="6">
        <v>2025</v>
      </c>
      <c r="I14" s="6">
        <v>1250</v>
      </c>
      <c r="J14" t="s">
        <v>303</v>
      </c>
    </row>
    <row r="15" spans="1:11" ht="15.75" x14ac:dyDescent="0.25">
      <c r="A15" s="12"/>
      <c r="B15" s="9" t="s">
        <v>3</v>
      </c>
      <c r="C15" s="10"/>
      <c r="D15" s="10"/>
      <c r="E15" s="7">
        <f>SUM(E13:E14)</f>
        <v>7778</v>
      </c>
      <c r="F15" s="7">
        <f t="shared" ref="F15:I15" si="4">SUM(F13:F14)</f>
        <v>4000</v>
      </c>
      <c r="G15" s="7">
        <f t="shared" si="4"/>
        <v>3829</v>
      </c>
      <c r="H15" s="7">
        <f t="shared" si="4"/>
        <v>3889</v>
      </c>
      <c r="I15" s="7">
        <f t="shared" si="4"/>
        <v>4250</v>
      </c>
    </row>
    <row r="16" spans="1:11" ht="15.75" x14ac:dyDescent="0.25">
      <c r="A16" s="17" t="s">
        <v>141</v>
      </c>
      <c r="B16" s="14"/>
      <c r="C16" s="14"/>
      <c r="D16" s="14"/>
      <c r="E16" s="16">
        <f t="shared" ref="E16:H16" si="5">E12+E15</f>
        <v>3728</v>
      </c>
      <c r="F16" s="16">
        <f t="shared" si="5"/>
        <v>3000</v>
      </c>
      <c r="G16" s="16">
        <f t="shared" si="5"/>
        <v>2829</v>
      </c>
      <c r="H16" s="16">
        <f t="shared" si="5"/>
        <v>1864</v>
      </c>
      <c r="I16" s="16">
        <f>I12+I15</f>
        <v>3000</v>
      </c>
    </row>
    <row r="18" spans="1:11" x14ac:dyDescent="0.25">
      <c r="A18" s="7" t="s">
        <v>38</v>
      </c>
      <c r="E18" s="6">
        <f>E5+E12</f>
        <v>-4075.06</v>
      </c>
      <c r="F18" s="6">
        <f t="shared" ref="F18:I18" si="6">F5+F12</f>
        <v>-2600</v>
      </c>
      <c r="G18" s="6">
        <f t="shared" si="6"/>
        <v>-1000</v>
      </c>
      <c r="H18" s="6">
        <f t="shared" si="6"/>
        <v>-3525</v>
      </c>
      <c r="I18" s="6">
        <f t="shared" si="6"/>
        <v>-1850</v>
      </c>
    </row>
    <row r="19" spans="1:11" x14ac:dyDescent="0.25">
      <c r="A19" s="7" t="s">
        <v>3</v>
      </c>
      <c r="E19" s="6">
        <f>E7+E15</f>
        <v>8224.4599999999991</v>
      </c>
      <c r="F19" s="6">
        <f t="shared" ref="F19:I19" si="7">F7+F15</f>
        <v>4450</v>
      </c>
      <c r="G19" s="6">
        <f t="shared" si="7"/>
        <v>3921.36</v>
      </c>
      <c r="H19" s="6">
        <f t="shared" si="7"/>
        <v>4081.36</v>
      </c>
      <c r="I19" s="6">
        <f t="shared" si="7"/>
        <v>4450</v>
      </c>
    </row>
    <row r="20" spans="1:11" ht="15.75" x14ac:dyDescent="0.25">
      <c r="A20" s="14" t="s">
        <v>211</v>
      </c>
      <c r="B20" s="14"/>
      <c r="C20" s="14"/>
      <c r="D20" s="14"/>
      <c r="E20" s="16">
        <f>E18+E19</f>
        <v>4149.3999999999996</v>
      </c>
      <c r="F20" s="16">
        <f t="shared" ref="F20:I20" si="8">F18+F19</f>
        <v>1850</v>
      </c>
      <c r="G20" s="16">
        <f t="shared" si="8"/>
        <v>2921.36</v>
      </c>
      <c r="H20" s="16">
        <f t="shared" si="8"/>
        <v>556.36000000000013</v>
      </c>
      <c r="I20" s="16">
        <f t="shared" si="8"/>
        <v>2600</v>
      </c>
    </row>
    <row r="23" spans="1:11" ht="57" x14ac:dyDescent="0.45">
      <c r="A23" s="31" t="s">
        <v>236</v>
      </c>
      <c r="B23" s="4" t="s">
        <v>244</v>
      </c>
    </row>
    <row r="24" spans="1:11" ht="63.75" x14ac:dyDescent="0.3">
      <c r="A24" s="32" t="s">
        <v>125</v>
      </c>
      <c r="B24" s="10"/>
      <c r="C24" s="10"/>
      <c r="D24" s="46" t="s">
        <v>240</v>
      </c>
      <c r="E24" s="24" t="s">
        <v>121</v>
      </c>
      <c r="F24" s="24" t="s">
        <v>123</v>
      </c>
      <c r="G24" s="24" t="s">
        <v>156</v>
      </c>
      <c r="H24" s="24" t="s">
        <v>122</v>
      </c>
      <c r="I24" s="24" t="s">
        <v>215</v>
      </c>
      <c r="J24" s="24" t="s">
        <v>422</v>
      </c>
      <c r="K24" s="24" t="s">
        <v>421</v>
      </c>
    </row>
    <row r="25" spans="1:11" ht="54.75" customHeight="1" x14ac:dyDescent="0.25">
      <c r="A25" s="33" t="s">
        <v>201</v>
      </c>
      <c r="D25" t="s">
        <v>238</v>
      </c>
      <c r="F25" s="19">
        <v>1250</v>
      </c>
      <c r="G25" s="20">
        <v>0</v>
      </c>
      <c r="H25" s="8">
        <f>G25</f>
        <v>0</v>
      </c>
      <c r="I25" s="8">
        <f>F25-H25</f>
        <v>1250</v>
      </c>
      <c r="J25" t="s">
        <v>297</v>
      </c>
      <c r="K25" s="34" t="s">
        <v>425</v>
      </c>
    </row>
    <row r="26" spans="1:11" ht="15.75" x14ac:dyDescent="0.25">
      <c r="A26" s="14"/>
      <c r="B26" s="14"/>
      <c r="C26" s="14"/>
      <c r="D26" s="14"/>
      <c r="E26" s="16">
        <f>SUM(E25:E25)</f>
        <v>0</v>
      </c>
      <c r="F26" s="16">
        <f>SUM(F25:F25)</f>
        <v>1250</v>
      </c>
      <c r="G26" s="16">
        <f>SUM(G25:G25)</f>
        <v>0</v>
      </c>
      <c r="H26" s="16">
        <f>SUM(H25:H25)</f>
        <v>0</v>
      </c>
      <c r="I26" s="16">
        <f>SUM(I25:I25)</f>
        <v>1250</v>
      </c>
    </row>
    <row r="28" spans="1:11" ht="57" x14ac:dyDescent="0.45">
      <c r="A28" s="31" t="s">
        <v>235</v>
      </c>
      <c r="B28" s="4" t="s">
        <v>243</v>
      </c>
      <c r="C28" s="21"/>
      <c r="D28" s="21"/>
      <c r="E28" s="8"/>
      <c r="F28" s="8"/>
      <c r="J28" s="24" t="s">
        <v>422</v>
      </c>
      <c r="K28" s="24" t="s">
        <v>421</v>
      </c>
    </row>
    <row r="29" spans="1:11" ht="31.5" x14ac:dyDescent="0.25">
      <c r="A29" s="33" t="s">
        <v>162</v>
      </c>
      <c r="D29" t="s">
        <v>238</v>
      </c>
      <c r="F29" s="19">
        <v>4000</v>
      </c>
      <c r="G29" s="20">
        <v>0</v>
      </c>
      <c r="H29" s="8">
        <f>G29</f>
        <v>0</v>
      </c>
      <c r="I29" s="8">
        <f>F29-H29</f>
        <v>4000</v>
      </c>
      <c r="J29" t="s">
        <v>298</v>
      </c>
    </row>
    <row r="30" spans="1:11" ht="15.75" x14ac:dyDescent="0.25">
      <c r="A30" s="14"/>
      <c r="B30" s="14"/>
      <c r="C30" s="14"/>
      <c r="D30" s="14"/>
      <c r="E30" s="16">
        <f t="shared" ref="E30:H30" si="9">E29</f>
        <v>0</v>
      </c>
      <c r="F30" s="16">
        <f t="shared" si="9"/>
        <v>4000</v>
      </c>
      <c r="G30" s="16">
        <f t="shared" si="9"/>
        <v>0</v>
      </c>
      <c r="H30" s="16">
        <f t="shared" si="9"/>
        <v>0</v>
      </c>
      <c r="I30" s="16">
        <f>I29</f>
        <v>4000</v>
      </c>
    </row>
  </sheetData>
  <sheetProtection algorithmName="SHA-512" hashValue="qJPfYt7720k8ixmxW5ZGm6PTPNpAX9ssgHBbQodscUdnYRG9NYq6Wmvu8mG0a79ul3lpWeLSgITmlbhcjhhE4A==" saltValue="CpgASevfTWz84eRs94J0J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6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05706-B0AF-4DA9-AAE1-44D2B1FABA42}">
  <sheetPr>
    <pageSetUpPr fitToPage="1"/>
  </sheetPr>
  <dimension ref="A1:K29"/>
  <sheetViews>
    <sheetView topLeftCell="A10" workbookViewId="0">
      <selection activeCell="I2" sqref="I2:I7"/>
    </sheetView>
  </sheetViews>
  <sheetFormatPr defaultColWidth="8.7109375" defaultRowHeight="15" x14ac:dyDescent="0.25"/>
  <cols>
    <col min="1" max="1" width="40.42578125" customWidth="1"/>
    <col min="5" max="5" width="15.42578125" customWidth="1"/>
    <col min="6" max="6" width="15.7109375" customWidth="1"/>
    <col min="7" max="7" width="15" customWidth="1"/>
    <col min="8" max="8" width="15.7109375" customWidth="1"/>
    <col min="9" max="9" width="16.28515625" customWidth="1"/>
    <col min="10" max="11" width="19.42578125" customWidth="1"/>
  </cols>
  <sheetData>
    <row r="1" spans="1:11" ht="48" x14ac:dyDescent="0.4">
      <c r="A1" s="27" t="s">
        <v>125</v>
      </c>
    </row>
    <row r="2" spans="1:11" ht="33" x14ac:dyDescent="0.35">
      <c r="A2" s="49" t="s">
        <v>11</v>
      </c>
      <c r="B2" s="10"/>
      <c r="C2" s="10"/>
      <c r="D2" s="46" t="s">
        <v>240</v>
      </c>
      <c r="E2" s="24" t="s">
        <v>121</v>
      </c>
      <c r="F2" s="24" t="s">
        <v>123</v>
      </c>
      <c r="G2" s="24" t="s">
        <v>156</v>
      </c>
      <c r="H2" s="24" t="s">
        <v>122</v>
      </c>
      <c r="I2" s="24" t="s">
        <v>124</v>
      </c>
      <c r="J2" s="24" t="s">
        <v>422</v>
      </c>
      <c r="K2" s="24" t="s">
        <v>421</v>
      </c>
    </row>
    <row r="3" spans="1:11" ht="15.75" x14ac:dyDescent="0.25">
      <c r="A3" s="10" t="s">
        <v>52</v>
      </c>
      <c r="B3" s="10"/>
      <c r="C3" s="10"/>
      <c r="D3" s="10" t="s">
        <v>242</v>
      </c>
      <c r="E3" s="6">
        <v>-3284.78</v>
      </c>
      <c r="F3" s="6">
        <v>-6750</v>
      </c>
      <c r="G3" s="6">
        <v>-2185.6999999999998</v>
      </c>
      <c r="H3" s="6">
        <v>-5307.7</v>
      </c>
      <c r="I3" s="6">
        <v>-6000</v>
      </c>
      <c r="J3" t="s">
        <v>307</v>
      </c>
    </row>
    <row r="4" spans="1:11" ht="15.75" x14ac:dyDescent="0.25">
      <c r="A4" s="10" t="s">
        <v>53</v>
      </c>
      <c r="B4" s="10"/>
      <c r="C4" s="10"/>
      <c r="D4" s="10" t="s">
        <v>242</v>
      </c>
      <c r="E4" s="6">
        <v>-7644</v>
      </c>
      <c r="F4" s="6">
        <v>-3250</v>
      </c>
      <c r="G4" s="6">
        <v>-1003</v>
      </c>
      <c r="H4" s="6">
        <v>-6499.58</v>
      </c>
      <c r="I4" s="6">
        <v>-6500</v>
      </c>
      <c r="J4" t="s">
        <v>306</v>
      </c>
    </row>
    <row r="5" spans="1:11" ht="15.75" x14ac:dyDescent="0.25">
      <c r="A5" s="10" t="s">
        <v>54</v>
      </c>
      <c r="B5" s="10"/>
      <c r="C5" s="10"/>
      <c r="D5" s="10" t="s">
        <v>241</v>
      </c>
      <c r="E5" s="6">
        <v>-2527.71</v>
      </c>
      <c r="F5" s="6">
        <v>-6500</v>
      </c>
      <c r="G5" s="6">
        <v>-2977.52</v>
      </c>
      <c r="H5" s="6">
        <v>-9386.7199999999993</v>
      </c>
      <c r="I5" s="6">
        <v>-4000</v>
      </c>
      <c r="J5" t="s">
        <v>308</v>
      </c>
      <c r="K5" s="6"/>
    </row>
    <row r="6" spans="1:11" ht="15.75" x14ac:dyDescent="0.25">
      <c r="A6" s="10"/>
      <c r="B6" s="9" t="s">
        <v>38</v>
      </c>
      <c r="C6" s="10"/>
      <c r="D6" s="10"/>
      <c r="E6" s="7">
        <f>SUM(E3:E5)</f>
        <v>-13456.490000000002</v>
      </c>
      <c r="F6" s="7">
        <f>SUM(F3:F5)</f>
        <v>-16500</v>
      </c>
      <c r="G6" s="7">
        <f>SUM(G3:G5)</f>
        <v>-6166.2199999999993</v>
      </c>
      <c r="H6" s="7">
        <f>SUM(H3:H5)</f>
        <v>-21194</v>
      </c>
      <c r="I6" s="7">
        <f>SUM(I3:I5)</f>
        <v>-16500</v>
      </c>
    </row>
    <row r="7" spans="1:11" ht="15.75" x14ac:dyDescent="0.25">
      <c r="A7" s="14" t="s">
        <v>137</v>
      </c>
      <c r="B7" s="14"/>
      <c r="C7" s="14"/>
      <c r="D7" s="14"/>
      <c r="E7" s="16">
        <f>E6</f>
        <v>-13456.490000000002</v>
      </c>
      <c r="F7" s="16">
        <f t="shared" ref="F7:I7" si="0">F6</f>
        <v>-16500</v>
      </c>
      <c r="G7" s="16">
        <f t="shared" si="0"/>
        <v>-6166.2199999999993</v>
      </c>
      <c r="H7" s="16">
        <f t="shared" si="0"/>
        <v>-21194</v>
      </c>
      <c r="I7" s="16">
        <f t="shared" si="0"/>
        <v>-16500</v>
      </c>
    </row>
    <row r="9" spans="1:11" ht="31.5" x14ac:dyDescent="0.25">
      <c r="A9" s="9" t="s">
        <v>63</v>
      </c>
      <c r="B9" s="10"/>
      <c r="C9" s="10"/>
      <c r="D9" s="46" t="s">
        <v>240</v>
      </c>
      <c r="E9" s="24" t="s">
        <v>121</v>
      </c>
      <c r="F9" s="24" t="s">
        <v>123</v>
      </c>
      <c r="G9" s="24" t="s">
        <v>156</v>
      </c>
      <c r="H9" s="24" t="s">
        <v>122</v>
      </c>
      <c r="I9" s="24" t="s">
        <v>124</v>
      </c>
      <c r="J9" s="24" t="s">
        <v>422</v>
      </c>
      <c r="K9" s="24" t="s">
        <v>421</v>
      </c>
    </row>
    <row r="10" spans="1:11" ht="15.75" x14ac:dyDescent="0.25">
      <c r="A10" s="12" t="s">
        <v>69</v>
      </c>
      <c r="B10" s="10"/>
      <c r="C10" s="10"/>
      <c r="D10" s="10" t="s">
        <v>238</v>
      </c>
      <c r="E10" s="6">
        <v>1538.42</v>
      </c>
      <c r="F10" s="6">
        <v>1275</v>
      </c>
      <c r="G10" s="6">
        <v>700</v>
      </c>
      <c r="H10" s="6">
        <v>1615</v>
      </c>
      <c r="I10" s="6">
        <v>2000</v>
      </c>
      <c r="J10" t="s">
        <v>309</v>
      </c>
    </row>
    <row r="11" spans="1:11" ht="15.75" x14ac:dyDescent="0.25">
      <c r="A11" s="10" t="s">
        <v>68</v>
      </c>
      <c r="B11" s="10"/>
      <c r="C11" s="10"/>
      <c r="D11" s="10" t="s">
        <v>241</v>
      </c>
      <c r="E11" s="6">
        <f>675+286.3</f>
        <v>961.3</v>
      </c>
      <c r="F11" s="6">
        <v>1060</v>
      </c>
      <c r="G11" s="6">
        <v>20</v>
      </c>
      <c r="H11" s="6">
        <v>720</v>
      </c>
      <c r="I11" s="6">
        <v>1000</v>
      </c>
      <c r="J11" t="s">
        <v>310</v>
      </c>
    </row>
    <row r="12" spans="1:11" ht="15.75" x14ac:dyDescent="0.25">
      <c r="A12" s="12"/>
      <c r="B12" s="9" t="s">
        <v>3</v>
      </c>
      <c r="C12" s="10"/>
      <c r="D12" s="10"/>
      <c r="E12" s="7">
        <f>SUM(E10:E11)</f>
        <v>2499.7200000000003</v>
      </c>
      <c r="F12" s="7">
        <f>SUM(F10:F11)</f>
        <v>2335</v>
      </c>
      <c r="G12" s="7">
        <f>SUM(G10:G11)</f>
        <v>720</v>
      </c>
      <c r="H12" s="7">
        <f>SUM(H10:H11)</f>
        <v>2335</v>
      </c>
      <c r="I12" s="7">
        <f>SUM(I10:I11)</f>
        <v>3000</v>
      </c>
    </row>
    <row r="13" spans="1:11" ht="15.75" x14ac:dyDescent="0.25">
      <c r="A13" s="14" t="s">
        <v>143</v>
      </c>
      <c r="B13" s="14"/>
      <c r="C13" s="14"/>
      <c r="D13" s="14"/>
      <c r="E13" s="16">
        <f>E12</f>
        <v>2499.7200000000003</v>
      </c>
      <c r="F13" s="16">
        <f>F12</f>
        <v>2335</v>
      </c>
      <c r="G13" s="16">
        <f>G12</f>
        <v>720</v>
      </c>
      <c r="H13" s="16">
        <f>H12</f>
        <v>2335</v>
      </c>
      <c r="I13" s="16">
        <f>I12</f>
        <v>3000</v>
      </c>
    </row>
    <row r="14" spans="1:11" x14ac:dyDescent="0.25">
      <c r="E14" s="6"/>
      <c r="F14" s="6"/>
      <c r="G14" s="6"/>
      <c r="H14" s="6"/>
      <c r="I14" s="6"/>
    </row>
    <row r="15" spans="1:11" x14ac:dyDescent="0.25">
      <c r="A15" s="7" t="s">
        <v>38</v>
      </c>
      <c r="E15" s="6">
        <f>E6</f>
        <v>-13456.490000000002</v>
      </c>
      <c r="F15" s="6">
        <f>F6</f>
        <v>-16500</v>
      </c>
      <c r="G15" s="6">
        <f>G6</f>
        <v>-6166.2199999999993</v>
      </c>
      <c r="H15" s="6">
        <f>H6</f>
        <v>-21194</v>
      </c>
      <c r="I15" s="6">
        <f>I6</f>
        <v>-16500</v>
      </c>
    </row>
    <row r="16" spans="1:11" x14ac:dyDescent="0.25">
      <c r="A16" s="7" t="s">
        <v>3</v>
      </c>
      <c r="E16" s="6">
        <f>E12</f>
        <v>2499.7200000000003</v>
      </c>
      <c r="F16" s="6">
        <f t="shared" ref="F16:I16" si="1">F12</f>
        <v>2335</v>
      </c>
      <c r="G16" s="6">
        <f t="shared" si="1"/>
        <v>720</v>
      </c>
      <c r="H16" s="6">
        <f t="shared" si="1"/>
        <v>2335</v>
      </c>
      <c r="I16" s="6">
        <f t="shared" si="1"/>
        <v>3000</v>
      </c>
    </row>
    <row r="17" spans="1:11" ht="15.75" x14ac:dyDescent="0.25">
      <c r="A17" s="14" t="s">
        <v>137</v>
      </c>
      <c r="B17" s="14"/>
      <c r="C17" s="14"/>
      <c r="D17" s="14"/>
      <c r="E17" s="16">
        <f>E15+E16</f>
        <v>-10956.77</v>
      </c>
      <c r="F17" s="16">
        <f t="shared" ref="F17:I17" si="2">F15+F16</f>
        <v>-14165</v>
      </c>
      <c r="G17" s="16">
        <f t="shared" si="2"/>
        <v>-5446.2199999999993</v>
      </c>
      <c r="H17" s="16">
        <f t="shared" si="2"/>
        <v>-18859</v>
      </c>
      <c r="I17" s="16">
        <f t="shared" si="2"/>
        <v>-13500</v>
      </c>
    </row>
    <row r="19" spans="1:11" ht="28.5" x14ac:dyDescent="0.45">
      <c r="A19" s="31" t="s">
        <v>236</v>
      </c>
      <c r="B19" s="4" t="s">
        <v>244</v>
      </c>
    </row>
    <row r="20" spans="1:11" ht="63.75" x14ac:dyDescent="0.3">
      <c r="A20" s="32" t="s">
        <v>125</v>
      </c>
      <c r="B20" s="10"/>
      <c r="C20" s="10"/>
      <c r="D20" s="46" t="s">
        <v>240</v>
      </c>
      <c r="E20" s="24" t="s">
        <v>121</v>
      </c>
      <c r="F20" s="24" t="s">
        <v>123</v>
      </c>
      <c r="G20" s="24" t="s">
        <v>156</v>
      </c>
      <c r="H20" s="24" t="s">
        <v>122</v>
      </c>
      <c r="I20" s="24" t="s">
        <v>215</v>
      </c>
      <c r="J20" s="24" t="s">
        <v>422</v>
      </c>
      <c r="K20" s="24" t="s">
        <v>421</v>
      </c>
    </row>
    <row r="21" spans="1:11" ht="15.75" x14ac:dyDescent="0.25">
      <c r="A21" s="33" t="s">
        <v>190</v>
      </c>
      <c r="D21" t="s">
        <v>241</v>
      </c>
      <c r="F21" s="19">
        <v>2556.4299999999998</v>
      </c>
      <c r="G21" s="20">
        <v>121.02</v>
      </c>
      <c r="H21" s="8">
        <v>242.04</v>
      </c>
      <c r="I21" s="8">
        <f>F21-H21</f>
        <v>2314.39</v>
      </c>
      <c r="J21" t="s">
        <v>311</v>
      </c>
    </row>
    <row r="22" spans="1:11" ht="15.75" x14ac:dyDescent="0.25">
      <c r="A22" s="33" t="s">
        <v>189</v>
      </c>
      <c r="D22" t="s">
        <v>238</v>
      </c>
      <c r="F22" s="19">
        <v>30</v>
      </c>
      <c r="G22" s="20">
        <v>227</v>
      </c>
      <c r="H22" s="8">
        <f>G22</f>
        <v>227</v>
      </c>
      <c r="I22" s="53">
        <f>F22-H22</f>
        <v>-197</v>
      </c>
      <c r="J22" t="s">
        <v>312</v>
      </c>
      <c r="K22" s="55" t="s">
        <v>426</v>
      </c>
    </row>
    <row r="23" spans="1:11" ht="15.75" x14ac:dyDescent="0.25">
      <c r="A23" s="14"/>
      <c r="B23" s="14"/>
      <c r="C23" s="14"/>
      <c r="D23" s="14"/>
      <c r="E23" s="16">
        <f t="shared" ref="E23:H23" si="3">SUM(E21:E22)</f>
        <v>0</v>
      </c>
      <c r="F23" s="16">
        <f t="shared" si="3"/>
        <v>2586.4299999999998</v>
      </c>
      <c r="G23" s="16">
        <f t="shared" si="3"/>
        <v>348.02</v>
      </c>
      <c r="H23" s="16">
        <f t="shared" si="3"/>
        <v>469.03999999999996</v>
      </c>
      <c r="I23" s="16">
        <f>SUM(I21:I22)</f>
        <v>2117.39</v>
      </c>
    </row>
    <row r="24" spans="1:11" x14ac:dyDescent="0.25">
      <c r="I24" s="6"/>
    </row>
    <row r="27" spans="1:11" ht="28.5" x14ac:dyDescent="0.45">
      <c r="A27" s="31" t="s">
        <v>235</v>
      </c>
      <c r="B27" s="4" t="s">
        <v>243</v>
      </c>
      <c r="C27" s="21"/>
      <c r="J27" s="24" t="s">
        <v>422</v>
      </c>
      <c r="K27" s="24" t="s">
        <v>421</v>
      </c>
    </row>
    <row r="28" spans="1:11" ht="15.75" x14ac:dyDescent="0.25">
      <c r="A28" s="33" t="s">
        <v>314</v>
      </c>
      <c r="D28" t="s">
        <v>242</v>
      </c>
      <c r="F28" s="19">
        <v>15000</v>
      </c>
      <c r="G28" s="20">
        <v>773.5</v>
      </c>
      <c r="H28" s="8">
        <v>773.5</v>
      </c>
      <c r="I28" s="8">
        <f>F28-H28</f>
        <v>14226.5</v>
      </c>
      <c r="J28" t="s">
        <v>313</v>
      </c>
    </row>
    <row r="29" spans="1:11" ht="15.75" x14ac:dyDescent="0.25">
      <c r="A29" s="14"/>
      <c r="B29" s="14"/>
      <c r="C29" s="14"/>
      <c r="D29" s="14"/>
      <c r="E29" s="16">
        <f t="shared" ref="E29:H29" si="4">E28</f>
        <v>0</v>
      </c>
      <c r="F29" s="16">
        <f t="shared" si="4"/>
        <v>15000</v>
      </c>
      <c r="G29" s="16">
        <f t="shared" si="4"/>
        <v>773.5</v>
      </c>
      <c r="H29" s="16">
        <f t="shared" si="4"/>
        <v>773.5</v>
      </c>
      <c r="I29" s="16">
        <f>I28</f>
        <v>14226.5</v>
      </c>
    </row>
  </sheetData>
  <sheetProtection algorithmName="SHA-512" hashValue="JWPBn3RnCqe1FF8rc7doQIXECTeoLYDWwa2wSLPos8iKsDTr6TV80AmRAyvMfwMs6F9nMHg6hf8U6eWS6e1P+Q==" saltValue="F3UsCuQtMuMqu8Z2bVd2O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9a5c676-7013-4f24-bbc6-31b56cd580f9" xsi:nil="true"/>
    <SharedWithUsers xmlns="22303508-bb7c-4460-aa5f-74a0d23eae43">
      <UserInfo>
        <DisplayName/>
        <AccountId xsi:nil="true"/>
        <AccountType/>
      </UserInfo>
    </SharedWithUsers>
    <lcf76f155ced4ddcb4097134ff3c332f xmlns="b9a5c676-7013-4f24-bbc6-31b56cd580f9">
      <Terms xmlns="http://schemas.microsoft.com/office/infopath/2007/PartnerControls"/>
    </lcf76f155ced4ddcb4097134ff3c332f>
    <TaxCatchAll xmlns="22303508-bb7c-4460-aa5f-74a0d23eae4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1C9A8E758D24C9BF398A736C4D483" ma:contentTypeVersion="20" ma:contentTypeDescription="Create a new document." ma:contentTypeScope="" ma:versionID="14a76d8422691be5dccf980ae8989563">
  <xsd:schema xmlns:xsd="http://www.w3.org/2001/XMLSchema" xmlns:xs="http://www.w3.org/2001/XMLSchema" xmlns:p="http://schemas.microsoft.com/office/2006/metadata/properties" xmlns:ns2="b9a5c676-7013-4f24-bbc6-31b56cd580f9" xmlns:ns3="22303508-bb7c-4460-aa5f-74a0d23eae43" targetNamespace="http://schemas.microsoft.com/office/2006/metadata/properties" ma:root="true" ma:fieldsID="6da8dc053069375fad8c3fcf0cf312d4" ns2:_="" ns3:_="">
    <xsd:import namespace="b9a5c676-7013-4f24-bbc6-31b56cd580f9"/>
    <xsd:import namespace="22303508-bb7c-4460-aa5f-74a0d23eae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5c676-7013-4f24-bbc6-31b56cd580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909c59a1-49e9-427a-a16a-58832289c6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303508-bb7c-4460-aa5f-74a0d23eae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04dcd1ca-217e-4d74-8794-1f842b35f621}" ma:internalName="TaxCatchAll" ma:showField="CatchAllData" ma:web="22303508-bb7c-4460-aa5f-74a0d23eae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7A1070-DB1B-49C4-8024-744A5CEEA6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B26D1D-9DC2-430C-B905-9115A323334C}">
  <ds:schemaRefs>
    <ds:schemaRef ds:uri="http://purl.org/dc/dcmitype/"/>
    <ds:schemaRef ds:uri="http://www.w3.org/XML/1998/namespace"/>
    <ds:schemaRef ds:uri="b9a5c676-7013-4f24-bbc6-31b56cd580f9"/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2303508-bb7c-4460-aa5f-74a0d23eae43"/>
  </ds:schemaRefs>
</ds:datastoreItem>
</file>

<file path=customXml/itemProps3.xml><?xml version="1.0" encoding="utf-8"?>
<ds:datastoreItem xmlns:ds="http://schemas.openxmlformats.org/officeDocument/2006/customXml" ds:itemID="{EADE456D-A84A-4226-9C7D-031B5AC92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a5c676-7013-4f24-bbc6-31b56cd580f9"/>
    <ds:schemaRef ds:uri="22303508-bb7c-4460-aa5f-74a0d23eae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Budget</vt:lpstr>
      <vt:lpstr>Earmarked</vt:lpstr>
      <vt:lpstr>Allotments</vt:lpstr>
      <vt:lpstr>Cemetery</vt:lpstr>
      <vt:lpstr>Town Hall</vt:lpstr>
      <vt:lpstr>RLS</vt:lpstr>
      <vt:lpstr>Bastion</vt:lpstr>
      <vt:lpstr>Meadows</vt:lpstr>
      <vt:lpstr>Rec</vt:lpstr>
      <vt:lpstr>Sports Fields</vt:lpstr>
      <vt:lpstr>GM</vt:lpstr>
      <vt:lpstr>A&amp;S Supplies</vt:lpstr>
      <vt:lpstr>H&amp;C</vt:lpstr>
      <vt:lpstr>F&amp;G</vt:lpstr>
      <vt:lpstr>Admin</vt:lpstr>
      <vt:lpstr>C&amp;C</vt:lpstr>
      <vt:lpstr>General Reserves</vt:lpstr>
      <vt:lpstr>Budget!Print_Area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Dorson</dc:creator>
  <cp:lastModifiedBy>Sarah Dorson</cp:lastModifiedBy>
  <cp:lastPrinted>2024-12-17T17:44:57Z</cp:lastPrinted>
  <dcterms:created xsi:type="dcterms:W3CDTF">2024-11-06T14:14:52Z</dcterms:created>
  <dcterms:modified xsi:type="dcterms:W3CDTF">2025-11-05T14:53:36Z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0x0101008501C9A8E758D24C9BF398A736C4D483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